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mc:AlternateContent xmlns:mc="http://schemas.openxmlformats.org/markup-compatibility/2006">
    <mc:Choice Requires="x15">
      <x15ac:absPath xmlns:x15ac="http://schemas.microsoft.com/office/spreadsheetml/2010/11/ac" url="\\10.0.1.4\Public\PROJECTS\KYTC BUILD Grant Applications - Qk4 (783)\53 Bourbon &amp; Scott County US460 Widening\2-BCA\BCA Spreadsheets\Consolidating Best #s\"/>
    </mc:Choice>
  </mc:AlternateContent>
  <xr:revisionPtr revIDLastSave="0" documentId="13_ncr:1_{74129276-8C28-47AB-A729-CABC51C5D44C}" xr6:coauthVersionLast="34" xr6:coauthVersionMax="34" xr10:uidLastSave="{00000000-0000-0000-0000-000000000000}"/>
  <bookViews>
    <workbookView xWindow="0" yWindow="0" windowWidth="19590" windowHeight="6555" tabRatio="848" xr2:uid="{00000000-000D-0000-FFFF-FFFF00000000}"/>
  </bookViews>
  <sheets>
    <sheet name="TOC" sheetId="29" r:id="rId1"/>
    <sheet name="BCA Summary" sheetId="11" r:id="rId2"/>
    <sheet name="Project Costs" sheetId="9" r:id="rId3"/>
    <sheet name="Cost Summary Discounted" sheetId="8" r:id="rId4"/>
    <sheet name="Fixed Factors" sheetId="4" r:id="rId5"/>
    <sheet name="Network Model Data" sheetId="15" r:id="rId6"/>
    <sheet name="Network TDC" sheetId="1" r:id="rId7"/>
    <sheet name="Network Crash Rates" sheetId="5" r:id="rId8"/>
    <sheet name="Network Shipper-Logistics" sheetId="12" r:id="rId9"/>
    <sheet name="Network Benefit Calculations" sheetId="3" r:id="rId10"/>
    <sheet name="Network Benefits Summary" sheetId="6" r:id="rId11"/>
    <sheet name="460 Crash Inputs" sheetId="19" r:id="rId12"/>
    <sheet name="460 Crashes" sheetId="18" r:id="rId13"/>
    <sheet name="460 Safety Benefit Calc." sheetId="20" r:id="rId14"/>
    <sheet name="460 Safety Benefits Summary" sheetId="16" r:id="rId15"/>
    <sheet name="Custom Truck Inputs" sheetId="23" r:id="rId16"/>
    <sheet name="Custom Truck TDC" sheetId="24" r:id="rId17"/>
    <sheet name="Custom Truck Shipper-Logistics" sheetId="26" r:id="rId18"/>
    <sheet name="Custom Truck Benefit Calc." sheetId="27" r:id="rId19"/>
    <sheet name="Custom Truck Benefits Summary" sheetId="22" r:id="rId20"/>
  </sheets>
  <externalReferences>
    <externalReference r:id="rId21"/>
  </externalReferences>
  <definedNames>
    <definedName name="_Ref518377416" localSheetId="15">'Custom Truck Inputs'!$G$2</definedName>
    <definedName name="_Ref518377632" localSheetId="15">'Custom Truck Inputs'!$P$2</definedName>
    <definedName name="_Ref518379124" localSheetId="15">'Custom Truck Inputs'!$G$18</definedName>
    <definedName name="_Ref518379207" localSheetId="15">'Custom Truck Inputs'!$U$18</definedName>
    <definedName name="Accident_injuries">[1]Ben_2!$C$9</definedName>
    <definedName name="Alternative_Route_demand" localSheetId="5">#REF!</definedName>
    <definedName name="Alternative_Route_demand">#REF!</definedName>
    <definedName name="Alternative_Route_demand2">#REF!</definedName>
    <definedName name="AM_PerComm" localSheetId="5">#REF!</definedName>
    <definedName name="AM_PerComm">#REF!</definedName>
    <definedName name="AM_PerComm2">#REF!</definedName>
    <definedName name="Annual_Days">[1]T_3!$B$5</definedName>
    <definedName name="Const_Speed">[1]T_3!$B$13</definedName>
    <definedName name="Construction_delay">[1]T_3!$B$12</definedName>
    <definedName name="Crash_reduction_factor">[1]Ben_2!$B$5</definedName>
    <definedName name="CT15_AADT_2014">[1]T_3!$B$10</definedName>
    <definedName name="FF_Speed">[1]T_3!$B$11</definedName>
    <definedName name="I91_AADT_2014">[1]T_3!$B$9</definedName>
    <definedName name="MD_PerComm" localSheetId="5">#REF!</definedName>
    <definedName name="MD_PerComm">#REF!</definedName>
    <definedName name="OV_PerComm" localSheetId="5">#REF!</definedName>
    <definedName name="OV_PerComm">#REF!</definedName>
    <definedName name="PDO_crashes">[1]Ben_2!$D$9</definedName>
    <definedName name="Percent_Reduction">[1]T_1!$E$14</definedName>
    <definedName name="PM_PerComm" localSheetId="5">#REF!</definedName>
    <definedName name="PM_PerComm">#REF!</definedName>
    <definedName name="_xlnm.Print_Titles" localSheetId="12">'460 Crashes'!$A:$A</definedName>
    <definedName name="_xlnm.Print_Titles" localSheetId="13">'460 Safety Benefit Calc.'!$A:$A</definedName>
    <definedName name="_xlnm.Print_Titles" localSheetId="18">'Custom Truck Benefit Calc.'!$A:$A</definedName>
    <definedName name="_xlnm.Print_Titles" localSheetId="16">'Custom Truck TDC'!$A:$A</definedName>
    <definedName name="_xlnm.Print_Titles" localSheetId="4">'Fixed Factors'!$A:$C</definedName>
    <definedName name="_xlnm.Print_Titles" localSheetId="9">'Network Benefit Calculations'!$A:$A</definedName>
    <definedName name="_xlnm.Print_Titles" localSheetId="5">'Network Model Data'!$A:$A</definedName>
    <definedName name="_xlnm.Print_Titles" localSheetId="6">'Network TDC'!$A:$A</definedName>
    <definedName name="Route_15_diversion" localSheetId="5">#REF!</definedName>
    <definedName name="Route_15_diversion">#REF!</definedName>
    <definedName name="Trip_Growth">[1]T_3!$B$8</definedName>
  </definedNames>
  <calcPr calcId="17901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1" i="3" l="1"/>
  <c r="O30" i="3"/>
  <c r="N30" i="3"/>
  <c r="AE31" i="6"/>
  <c r="AH31" i="6"/>
  <c r="AD29" i="6"/>
  <c r="AE29" i="6"/>
  <c r="AF29" i="6"/>
  <c r="AG29" i="6"/>
  <c r="AH29" i="6"/>
  <c r="E30" i="22"/>
  <c r="AF12" i="24"/>
  <c r="D6" i="24"/>
  <c r="C45" i="23"/>
  <c r="C44" i="23"/>
  <c r="C41" i="23"/>
  <c r="C40" i="23"/>
  <c r="D38" i="23"/>
  <c r="C38" i="23"/>
  <c r="B38" i="23"/>
  <c r="C12" i="23"/>
  <c r="C11" i="23"/>
  <c r="C9" i="23"/>
  <c r="E4" i="8" l="1"/>
  <c r="C26" i="23" l="1"/>
  <c r="C25" i="23"/>
  <c r="C20" i="23"/>
  <c r="C4" i="23"/>
  <c r="AG5" i="1" l="1"/>
  <c r="C36" i="8" l="1"/>
  <c r="E5" i="1" l="1"/>
  <c r="AE12" i="24" l="1"/>
  <c r="U12" i="27" s="1"/>
  <c r="AE13" i="24"/>
  <c r="U13" i="27" s="1"/>
  <c r="AE14" i="24"/>
  <c r="U14" i="27" s="1"/>
  <c r="AE15" i="24"/>
  <c r="U15" i="27" s="1"/>
  <c r="AE16" i="24"/>
  <c r="U16" i="27" s="1"/>
  <c r="AE17" i="24"/>
  <c r="U17" i="27" s="1"/>
  <c r="AE18" i="24"/>
  <c r="AE19" i="24"/>
  <c r="AE20" i="24"/>
  <c r="U20" i="27" s="1"/>
  <c r="AE21" i="24"/>
  <c r="U21" i="27" s="1"/>
  <c r="AE22" i="24"/>
  <c r="U22" i="27" s="1"/>
  <c r="AE23" i="24"/>
  <c r="U23" i="27" s="1"/>
  <c r="AE24" i="24"/>
  <c r="U24" i="27" s="1"/>
  <c r="AE25" i="24"/>
  <c r="AE26" i="24"/>
  <c r="U26" i="27" s="1"/>
  <c r="AE27" i="24"/>
  <c r="AE28" i="24"/>
  <c r="U28" i="27" s="1"/>
  <c r="AE29" i="24"/>
  <c r="AE30" i="24"/>
  <c r="U30" i="27" s="1"/>
  <c r="AE31" i="24"/>
  <c r="U31" i="27" s="1"/>
  <c r="U18" i="27"/>
  <c r="U29" i="27"/>
  <c r="U25" i="27"/>
  <c r="AD6" i="24"/>
  <c r="AD7" i="24"/>
  <c r="AD8" i="24"/>
  <c r="T8" i="27" s="1"/>
  <c r="AD9" i="24"/>
  <c r="T9" i="27" s="1"/>
  <c r="AD10" i="24"/>
  <c r="AD11" i="24"/>
  <c r="AD12" i="24"/>
  <c r="AD13" i="24"/>
  <c r="AD14" i="24"/>
  <c r="T14" i="27" s="1"/>
  <c r="AD15" i="24"/>
  <c r="AD16" i="24"/>
  <c r="T16" i="27" s="1"/>
  <c r="AD17" i="24"/>
  <c r="T17" i="27" s="1"/>
  <c r="AD18" i="24"/>
  <c r="T18" i="27" s="1"/>
  <c r="AD19" i="24"/>
  <c r="AD20" i="24"/>
  <c r="AD21" i="24"/>
  <c r="AD22" i="24"/>
  <c r="T22" i="27" s="1"/>
  <c r="AD23" i="24"/>
  <c r="AD24" i="24"/>
  <c r="T24" i="27" s="1"/>
  <c r="AD25" i="24"/>
  <c r="T25" i="27" s="1"/>
  <c r="AD26" i="24"/>
  <c r="T26" i="27" s="1"/>
  <c r="AD27" i="24"/>
  <c r="AD28" i="24"/>
  <c r="AD29" i="24"/>
  <c r="AD30" i="24"/>
  <c r="AD31" i="24"/>
  <c r="T13" i="27"/>
  <c r="T15" i="27"/>
  <c r="T20" i="27"/>
  <c r="T21" i="27"/>
  <c r="T29" i="27"/>
  <c r="T7" i="27"/>
  <c r="T19" i="27"/>
  <c r="T28" i="27"/>
  <c r="T6" i="27"/>
  <c r="T30" i="27"/>
  <c r="T31" i="27"/>
  <c r="T11" i="27"/>
  <c r="T12" i="27"/>
  <c r="T23" i="27"/>
  <c r="T27" i="27"/>
  <c r="AD5" i="24"/>
  <c r="T5" i="27" s="1"/>
  <c r="AC6" i="24"/>
  <c r="AC7" i="24"/>
  <c r="AC8" i="24"/>
  <c r="AC9" i="24"/>
  <c r="S9" i="27" s="1"/>
  <c r="AC10" i="24"/>
  <c r="AC11" i="24"/>
  <c r="S11" i="27" s="1"/>
  <c r="AC12" i="24"/>
  <c r="S12" i="27" s="1"/>
  <c r="AC13" i="24"/>
  <c r="S13" i="27" s="1"/>
  <c r="AC14" i="24"/>
  <c r="AC15" i="24"/>
  <c r="AC16" i="24"/>
  <c r="S16" i="27" s="1"/>
  <c r="AC17" i="24"/>
  <c r="S17" i="27" s="1"/>
  <c r="AC18" i="24"/>
  <c r="AC19" i="24"/>
  <c r="AC20" i="24"/>
  <c r="AC21" i="24"/>
  <c r="AC22" i="24"/>
  <c r="AC23" i="24"/>
  <c r="S23" i="27" s="1"/>
  <c r="AC24" i="24"/>
  <c r="S24" i="27" s="1"/>
  <c r="AC25" i="24"/>
  <c r="S25" i="27" s="1"/>
  <c r="AC26" i="24"/>
  <c r="AC27" i="24"/>
  <c r="AC28" i="24"/>
  <c r="AC29" i="24"/>
  <c r="S29" i="27" s="1"/>
  <c r="AC30" i="24"/>
  <c r="AC31" i="24"/>
  <c r="S15" i="27"/>
  <c r="S20" i="27"/>
  <c r="S21" i="27"/>
  <c r="S31" i="27"/>
  <c r="S7" i="27"/>
  <c r="S8" i="27"/>
  <c r="S19" i="27"/>
  <c r="S27" i="27"/>
  <c r="S28" i="27"/>
  <c r="AC5" i="24"/>
  <c r="S5" i="27" s="1"/>
  <c r="AA6" i="24"/>
  <c r="AA7" i="24"/>
  <c r="AA8" i="24"/>
  <c r="AA9" i="24"/>
  <c r="Q9" i="27" s="1"/>
  <c r="AA10" i="24"/>
  <c r="AA11" i="24"/>
  <c r="Q11" i="27" s="1"/>
  <c r="AA12" i="24"/>
  <c r="Q12" i="27" s="1"/>
  <c r="AA13" i="24"/>
  <c r="Q13" i="27" s="1"/>
  <c r="AA14" i="24"/>
  <c r="AA15" i="24"/>
  <c r="AA16" i="24"/>
  <c r="AA17" i="24"/>
  <c r="Q17" i="27" s="1"/>
  <c r="AA18" i="24"/>
  <c r="AA19" i="24"/>
  <c r="AA20" i="24"/>
  <c r="AA21" i="24"/>
  <c r="AA22" i="24"/>
  <c r="AA23" i="24"/>
  <c r="AA24" i="24"/>
  <c r="Q24" i="27" s="1"/>
  <c r="AA25" i="24"/>
  <c r="Q25" i="27" s="1"/>
  <c r="AA26" i="24"/>
  <c r="AA27" i="24"/>
  <c r="Q27" i="27" s="1"/>
  <c r="AA28" i="24"/>
  <c r="Q28" i="27" s="1"/>
  <c r="AA29" i="24"/>
  <c r="AA30" i="24"/>
  <c r="AA31" i="24"/>
  <c r="Q6" i="27"/>
  <c r="Q8" i="27"/>
  <c r="Q10" i="27"/>
  <c r="Q14" i="27"/>
  <c r="Q21" i="27"/>
  <c r="Q22" i="27"/>
  <c r="Q26" i="27"/>
  <c r="Q30" i="27"/>
  <c r="Q29" i="27"/>
  <c r="AA5" i="24"/>
  <c r="Q5" i="27" s="1"/>
  <c r="Z6" i="24"/>
  <c r="Z7" i="24"/>
  <c r="Z8" i="24"/>
  <c r="Z9" i="24"/>
  <c r="P9" i="27" s="1"/>
  <c r="Z10" i="24"/>
  <c r="Z11" i="24"/>
  <c r="Z12" i="24"/>
  <c r="P12" i="27" s="1"/>
  <c r="Z13" i="24"/>
  <c r="P13" i="27" s="1"/>
  <c r="Z14" i="24"/>
  <c r="Z15" i="24"/>
  <c r="Z16" i="24"/>
  <c r="Z17" i="24"/>
  <c r="P17" i="27" s="1"/>
  <c r="Z18" i="24"/>
  <c r="Z19" i="24"/>
  <c r="P19" i="27" s="1"/>
  <c r="Z20" i="24"/>
  <c r="P20" i="27" s="1"/>
  <c r="Z21" i="24"/>
  <c r="Z22" i="24"/>
  <c r="Z23" i="24"/>
  <c r="P23" i="27" s="1"/>
  <c r="Z24" i="24"/>
  <c r="P24" i="27" s="1"/>
  <c r="Z25" i="24"/>
  <c r="P25" i="27" s="1"/>
  <c r="Z26" i="24"/>
  <c r="Z27" i="24"/>
  <c r="P27" i="27" s="1"/>
  <c r="Z28" i="24"/>
  <c r="Z29" i="24"/>
  <c r="P29" i="27" s="1"/>
  <c r="Z30" i="24"/>
  <c r="Z31" i="24"/>
  <c r="P7" i="27"/>
  <c r="P8" i="27"/>
  <c r="P21" i="27"/>
  <c r="P28" i="27"/>
  <c r="Z5" i="24"/>
  <c r="P5" i="27" s="1"/>
  <c r="I5" i="26"/>
  <c r="O30" i="27" s="1"/>
  <c r="L6" i="27"/>
  <c r="L7" i="27"/>
  <c r="L8" i="27"/>
  <c r="L9" i="27"/>
  <c r="L10" i="27"/>
  <c r="L11" i="27"/>
  <c r="L12" i="27"/>
  <c r="L13" i="27"/>
  <c r="L14" i="27"/>
  <c r="L15" i="27"/>
  <c r="L16" i="27"/>
  <c r="L17" i="27"/>
  <c r="L18" i="27"/>
  <c r="L19" i="27"/>
  <c r="L20" i="27"/>
  <c r="L21" i="27"/>
  <c r="L22" i="27"/>
  <c r="L23" i="27"/>
  <c r="L24" i="27"/>
  <c r="L25" i="27"/>
  <c r="L26" i="27"/>
  <c r="L27" i="27"/>
  <c r="L28" i="27"/>
  <c r="L29" i="27"/>
  <c r="L30" i="27"/>
  <c r="L31" i="27"/>
  <c r="L5" i="27"/>
  <c r="B6" i="27"/>
  <c r="B7" i="27"/>
  <c r="B8" i="27"/>
  <c r="B9" i="27"/>
  <c r="B10" i="27"/>
  <c r="B11" i="27"/>
  <c r="B12" i="27"/>
  <c r="B13" i="27"/>
  <c r="B14" i="27"/>
  <c r="B15" i="27"/>
  <c r="B16" i="27"/>
  <c r="B17" i="27"/>
  <c r="B18" i="27"/>
  <c r="B19" i="27"/>
  <c r="B20" i="27"/>
  <c r="B21" i="27"/>
  <c r="B22" i="27"/>
  <c r="B23" i="27"/>
  <c r="B24" i="27"/>
  <c r="B25" i="27"/>
  <c r="B26" i="27"/>
  <c r="B27" i="27"/>
  <c r="B28" i="27"/>
  <c r="B29" i="27"/>
  <c r="B30" i="27"/>
  <c r="B31" i="27"/>
  <c r="B5" i="27"/>
  <c r="AG12" i="27"/>
  <c r="AG13" i="27"/>
  <c r="AG14" i="27"/>
  <c r="AG15" i="27"/>
  <c r="AG16" i="27"/>
  <c r="AG17" i="27"/>
  <c r="AG18" i="27"/>
  <c r="AG19" i="27"/>
  <c r="AG20" i="27"/>
  <c r="AG21" i="27"/>
  <c r="AG22" i="27"/>
  <c r="AG23" i="27"/>
  <c r="AG24" i="27"/>
  <c r="AG25" i="27"/>
  <c r="AG26" i="27"/>
  <c r="AG27" i="27"/>
  <c r="AG28" i="27"/>
  <c r="AG29" i="27"/>
  <c r="AG30" i="27"/>
  <c r="AG31" i="27"/>
  <c r="AF6" i="27"/>
  <c r="AF7" i="27"/>
  <c r="AF8" i="27"/>
  <c r="AF9" i="27"/>
  <c r="AF10" i="27"/>
  <c r="AF11" i="27"/>
  <c r="AF12" i="27"/>
  <c r="AF13" i="27"/>
  <c r="AF14" i="27"/>
  <c r="AF15" i="27"/>
  <c r="AF16" i="27"/>
  <c r="AF17" i="27"/>
  <c r="AF18" i="27"/>
  <c r="AF19" i="27"/>
  <c r="AF20" i="27"/>
  <c r="AF21" i="27"/>
  <c r="AF22" i="27"/>
  <c r="AF23" i="27"/>
  <c r="AF24" i="27"/>
  <c r="AF25" i="27"/>
  <c r="AF26" i="27"/>
  <c r="AF27" i="27"/>
  <c r="AF28" i="27"/>
  <c r="AF29" i="27"/>
  <c r="AF30" i="27"/>
  <c r="AF31" i="27"/>
  <c r="AF5" i="27"/>
  <c r="AE6" i="27"/>
  <c r="AE7" i="27"/>
  <c r="AE8" i="27"/>
  <c r="AE9" i="27"/>
  <c r="AE10" i="27"/>
  <c r="AE11" i="27"/>
  <c r="AE12" i="27"/>
  <c r="AE13" i="27"/>
  <c r="AE14" i="27"/>
  <c r="AE15" i="27"/>
  <c r="AE16" i="27"/>
  <c r="AE17" i="27"/>
  <c r="AE18" i="27"/>
  <c r="AE19" i="27"/>
  <c r="AE20" i="27"/>
  <c r="AE21" i="27"/>
  <c r="AE22" i="27"/>
  <c r="AE23" i="27"/>
  <c r="AE24" i="27"/>
  <c r="AE25" i="27"/>
  <c r="AE26" i="27"/>
  <c r="AE27" i="27"/>
  <c r="AE28" i="27"/>
  <c r="AE29" i="27"/>
  <c r="AE30" i="27"/>
  <c r="AE31" i="27"/>
  <c r="AE5" i="27"/>
  <c r="AC6" i="27"/>
  <c r="AC7" i="27"/>
  <c r="AC8" i="27"/>
  <c r="AC9" i="27"/>
  <c r="AC10" i="27"/>
  <c r="AC11" i="27"/>
  <c r="AC12" i="27"/>
  <c r="AC13" i="27"/>
  <c r="AC14" i="27"/>
  <c r="AC15" i="27"/>
  <c r="AC16" i="27"/>
  <c r="AC17" i="27"/>
  <c r="AC18" i="27"/>
  <c r="AC19" i="27"/>
  <c r="AC20" i="27"/>
  <c r="AC21" i="27"/>
  <c r="AC22" i="27"/>
  <c r="AC23" i="27"/>
  <c r="AC24" i="27"/>
  <c r="AC25" i="27"/>
  <c r="AC26" i="27"/>
  <c r="AC27" i="27"/>
  <c r="AC28" i="27"/>
  <c r="AC29" i="27"/>
  <c r="AC30" i="27"/>
  <c r="AC31" i="27"/>
  <c r="AC5" i="27"/>
  <c r="AB6" i="27"/>
  <c r="AB7" i="27"/>
  <c r="AB8" i="27"/>
  <c r="AB9" i="27"/>
  <c r="AB10" i="27"/>
  <c r="AB11" i="27"/>
  <c r="AB12" i="27"/>
  <c r="AB13" i="27"/>
  <c r="AB14" i="27"/>
  <c r="AB15" i="27"/>
  <c r="AB16" i="27"/>
  <c r="AB17" i="27"/>
  <c r="AB18" i="27"/>
  <c r="AB19" i="27"/>
  <c r="AB20" i="27"/>
  <c r="AB21" i="27"/>
  <c r="AB22" i="27"/>
  <c r="AB23" i="27"/>
  <c r="AB24" i="27"/>
  <c r="AB25" i="27"/>
  <c r="AB26" i="27"/>
  <c r="AB27" i="27"/>
  <c r="AB28" i="27"/>
  <c r="AB29" i="27"/>
  <c r="AB30" i="27"/>
  <c r="AB31" i="27"/>
  <c r="AB5" i="27"/>
  <c r="Z29" i="27"/>
  <c r="Z25" i="27"/>
  <c r="Z24" i="27"/>
  <c r="Z21" i="27"/>
  <c r="Z20" i="27"/>
  <c r="Z13" i="27"/>
  <c r="Y16" i="27"/>
  <c r="Y20" i="27"/>
  <c r="Y24" i="27"/>
  <c r="Y28" i="27"/>
  <c r="U19" i="27"/>
  <c r="U27" i="27"/>
  <c r="T10" i="27"/>
  <c r="S6" i="27"/>
  <c r="S10" i="27"/>
  <c r="S14" i="27"/>
  <c r="S18" i="27"/>
  <c r="S22" i="27"/>
  <c r="S26" i="27"/>
  <c r="S30" i="27"/>
  <c r="Q7" i="27"/>
  <c r="Q15" i="27"/>
  <c r="Q16" i="27"/>
  <c r="Q18" i="27"/>
  <c r="Q19" i="27"/>
  <c r="Q20" i="27"/>
  <c r="Q23" i="27"/>
  <c r="Q31" i="27"/>
  <c r="P6" i="27"/>
  <c r="P10" i="27"/>
  <c r="P11" i="27"/>
  <c r="P14" i="27"/>
  <c r="P15" i="27"/>
  <c r="P16" i="27"/>
  <c r="P18" i="27"/>
  <c r="P22" i="27"/>
  <c r="P26" i="27"/>
  <c r="P30" i="27"/>
  <c r="P31" i="27"/>
  <c r="M12" i="27"/>
  <c r="M13" i="27"/>
  <c r="M14" i="27"/>
  <c r="M15" i="27"/>
  <c r="M16" i="27"/>
  <c r="M17" i="27"/>
  <c r="M18" i="27"/>
  <c r="M19" i="27"/>
  <c r="M20" i="27"/>
  <c r="M21" i="27"/>
  <c r="M22" i="27"/>
  <c r="M23" i="27"/>
  <c r="M24" i="27"/>
  <c r="M25" i="27"/>
  <c r="M26" i="27"/>
  <c r="M27" i="27"/>
  <c r="M28" i="27"/>
  <c r="M29" i="27"/>
  <c r="M30" i="27"/>
  <c r="M31" i="27"/>
  <c r="K6" i="27"/>
  <c r="K7" i="27"/>
  <c r="K8" i="27"/>
  <c r="K9" i="27"/>
  <c r="K10" i="27"/>
  <c r="K11" i="27"/>
  <c r="K12" i="27"/>
  <c r="K13" i="27"/>
  <c r="K14" i="27"/>
  <c r="K15" i="27"/>
  <c r="K16" i="27"/>
  <c r="K17" i="27"/>
  <c r="K18" i="27"/>
  <c r="K19" i="27"/>
  <c r="K20" i="27"/>
  <c r="K21" i="27"/>
  <c r="K22" i="27"/>
  <c r="K23" i="27"/>
  <c r="K24" i="27"/>
  <c r="K25" i="27"/>
  <c r="K26" i="27"/>
  <c r="K27" i="27"/>
  <c r="K28" i="27"/>
  <c r="K29" i="27"/>
  <c r="K30" i="27"/>
  <c r="K31" i="27"/>
  <c r="K5" i="27"/>
  <c r="I6" i="27"/>
  <c r="I7" i="27"/>
  <c r="I8" i="27"/>
  <c r="I9" i="27"/>
  <c r="I10" i="27"/>
  <c r="I11" i="27"/>
  <c r="I12" i="27"/>
  <c r="I13" i="27"/>
  <c r="I14" i="27"/>
  <c r="I15" i="27"/>
  <c r="I16" i="27"/>
  <c r="I17" i="27"/>
  <c r="I18" i="27"/>
  <c r="I19" i="27"/>
  <c r="I20" i="27"/>
  <c r="I21" i="27"/>
  <c r="I22" i="27"/>
  <c r="I23" i="27"/>
  <c r="I24" i="27"/>
  <c r="I25" i="27"/>
  <c r="I26" i="27"/>
  <c r="I27" i="27"/>
  <c r="I28" i="27"/>
  <c r="I29" i="27"/>
  <c r="I30" i="27"/>
  <c r="I31" i="27"/>
  <c r="I5" i="27"/>
  <c r="H6" i="27"/>
  <c r="H7" i="27"/>
  <c r="H8" i="27"/>
  <c r="H9" i="27"/>
  <c r="H10" i="27"/>
  <c r="H11" i="27"/>
  <c r="H12" i="27"/>
  <c r="H13" i="27"/>
  <c r="H14" i="27"/>
  <c r="H15" i="27"/>
  <c r="H16" i="27"/>
  <c r="H17" i="27"/>
  <c r="H18" i="27"/>
  <c r="H19" i="27"/>
  <c r="H20" i="27"/>
  <c r="H21" i="27"/>
  <c r="H22" i="27"/>
  <c r="H23" i="27"/>
  <c r="H24" i="27"/>
  <c r="H25" i="27"/>
  <c r="H26" i="27"/>
  <c r="H27" i="27"/>
  <c r="H28" i="27"/>
  <c r="H29" i="27"/>
  <c r="H30" i="27"/>
  <c r="H31" i="27"/>
  <c r="H5" i="27"/>
  <c r="G12" i="27"/>
  <c r="G13" i="27"/>
  <c r="G14" i="27"/>
  <c r="G15" i="27"/>
  <c r="G16" i="27"/>
  <c r="G17" i="27"/>
  <c r="G18" i="27"/>
  <c r="G19" i="27"/>
  <c r="G20" i="27"/>
  <c r="G21" i="27"/>
  <c r="G22" i="27"/>
  <c r="G23" i="27"/>
  <c r="G24" i="27"/>
  <c r="G25" i="27"/>
  <c r="G26" i="27"/>
  <c r="G27" i="27"/>
  <c r="G28" i="27"/>
  <c r="G29" i="27"/>
  <c r="G30" i="27"/>
  <c r="G31" i="27"/>
  <c r="F6" i="27"/>
  <c r="F7" i="27"/>
  <c r="F8" i="27"/>
  <c r="F9" i="27"/>
  <c r="F10" i="27"/>
  <c r="F11" i="27"/>
  <c r="F12" i="27"/>
  <c r="F13" i="27"/>
  <c r="F14" i="27"/>
  <c r="F15" i="27"/>
  <c r="F16" i="27"/>
  <c r="F17" i="27"/>
  <c r="F18" i="27"/>
  <c r="F19" i="27"/>
  <c r="F20" i="27"/>
  <c r="F21" i="27"/>
  <c r="F22" i="27"/>
  <c r="F23" i="27"/>
  <c r="F24" i="27"/>
  <c r="F25" i="27"/>
  <c r="F26" i="27"/>
  <c r="F27" i="27"/>
  <c r="F28" i="27"/>
  <c r="F29" i="27"/>
  <c r="F30" i="27"/>
  <c r="F31" i="27"/>
  <c r="F5" i="27"/>
  <c r="E6" i="27"/>
  <c r="E7" i="27"/>
  <c r="E8" i="27"/>
  <c r="E9" i="27"/>
  <c r="E10" i="27"/>
  <c r="E11" i="27"/>
  <c r="E12" i="27"/>
  <c r="E13" i="27"/>
  <c r="E14" i="27"/>
  <c r="E15" i="27"/>
  <c r="E16" i="27"/>
  <c r="E17" i="27"/>
  <c r="E18" i="27"/>
  <c r="E19" i="27"/>
  <c r="E20" i="27"/>
  <c r="E21" i="27"/>
  <c r="E22" i="27"/>
  <c r="E23" i="27"/>
  <c r="E24" i="27"/>
  <c r="E25" i="27"/>
  <c r="E26" i="27"/>
  <c r="E27" i="27"/>
  <c r="E28" i="27"/>
  <c r="E29" i="27"/>
  <c r="E30" i="27"/>
  <c r="E31" i="27"/>
  <c r="E5" i="27"/>
  <c r="C6" i="27"/>
  <c r="C7" i="27"/>
  <c r="C8" i="27"/>
  <c r="C9" i="27"/>
  <c r="C10" i="27"/>
  <c r="C11" i="27"/>
  <c r="C12" i="27"/>
  <c r="C13" i="27"/>
  <c r="C14" i="27"/>
  <c r="C15" i="27"/>
  <c r="C16" i="27"/>
  <c r="C17" i="27"/>
  <c r="C18" i="27"/>
  <c r="C19" i="27"/>
  <c r="C20" i="27"/>
  <c r="C21" i="27"/>
  <c r="C22" i="27"/>
  <c r="C23" i="27"/>
  <c r="C24" i="27"/>
  <c r="C25" i="27"/>
  <c r="C26" i="27"/>
  <c r="C27" i="27"/>
  <c r="C28" i="27"/>
  <c r="C29" i="27"/>
  <c r="C30" i="27"/>
  <c r="C31" i="27"/>
  <c r="C5" i="27"/>
  <c r="AI12" i="24"/>
  <c r="Y12" i="27" s="1"/>
  <c r="AJ12" i="24"/>
  <c r="Z12" i="27" s="1"/>
  <c r="AK12" i="24"/>
  <c r="AA12" i="27" s="1"/>
  <c r="AI13" i="24"/>
  <c r="Y13" i="27" s="1"/>
  <c r="AJ13" i="24"/>
  <c r="AK13" i="24"/>
  <c r="AA13" i="27" s="1"/>
  <c r="AI14" i="24"/>
  <c r="Y14" i="27" s="1"/>
  <c r="AJ14" i="24"/>
  <c r="Z14" i="27" s="1"/>
  <c r="AK14" i="24"/>
  <c r="AA14" i="27" s="1"/>
  <c r="AI15" i="24"/>
  <c r="Y15" i="27" s="1"/>
  <c r="AJ15" i="24"/>
  <c r="Z15" i="27" s="1"/>
  <c r="AK15" i="24"/>
  <c r="AA15" i="27" s="1"/>
  <c r="AI16" i="24"/>
  <c r="AJ16" i="24"/>
  <c r="Z16" i="27" s="1"/>
  <c r="AK16" i="24"/>
  <c r="AA16" i="27" s="1"/>
  <c r="AI17" i="24"/>
  <c r="Y17" i="27" s="1"/>
  <c r="AJ17" i="24"/>
  <c r="Z17" i="27" s="1"/>
  <c r="AK17" i="24"/>
  <c r="AA17" i="27" s="1"/>
  <c r="AI18" i="24"/>
  <c r="Y18" i="27" s="1"/>
  <c r="AJ18" i="24"/>
  <c r="Z18" i="27" s="1"/>
  <c r="AK18" i="24"/>
  <c r="AA18" i="27" s="1"/>
  <c r="AI19" i="24"/>
  <c r="Y19" i="27" s="1"/>
  <c r="AJ19" i="24"/>
  <c r="Z19" i="27" s="1"/>
  <c r="AK19" i="24"/>
  <c r="AA19" i="27" s="1"/>
  <c r="AI20" i="24"/>
  <c r="AJ20" i="24"/>
  <c r="AK20" i="24"/>
  <c r="AA20" i="27" s="1"/>
  <c r="AI21" i="24"/>
  <c r="Y21" i="27" s="1"/>
  <c r="AJ21" i="24"/>
  <c r="AK21" i="24"/>
  <c r="AA21" i="27" s="1"/>
  <c r="AI22" i="24"/>
  <c r="Y22" i="27" s="1"/>
  <c r="AJ22" i="24"/>
  <c r="Z22" i="27" s="1"/>
  <c r="AK22" i="24"/>
  <c r="AA22" i="27" s="1"/>
  <c r="AI23" i="24"/>
  <c r="Y23" i="27" s="1"/>
  <c r="AJ23" i="24"/>
  <c r="Z23" i="27" s="1"/>
  <c r="AK23" i="24"/>
  <c r="AA23" i="27" s="1"/>
  <c r="AI24" i="24"/>
  <c r="AJ24" i="24"/>
  <c r="AK24" i="24"/>
  <c r="AA24" i="27" s="1"/>
  <c r="AI25" i="24"/>
  <c r="Y25" i="27" s="1"/>
  <c r="AJ25" i="24"/>
  <c r="AK25" i="24"/>
  <c r="AA25" i="27" s="1"/>
  <c r="AI26" i="24"/>
  <c r="Y26" i="27" s="1"/>
  <c r="AJ26" i="24"/>
  <c r="Z26" i="27" s="1"/>
  <c r="AK26" i="24"/>
  <c r="AA26" i="27" s="1"/>
  <c r="AI27" i="24"/>
  <c r="Y27" i="27" s="1"/>
  <c r="AJ27" i="24"/>
  <c r="Z27" i="27" s="1"/>
  <c r="AK27" i="24"/>
  <c r="AA27" i="27" s="1"/>
  <c r="AI28" i="24"/>
  <c r="AJ28" i="24"/>
  <c r="Z28" i="27" s="1"/>
  <c r="AK28" i="24"/>
  <c r="AA28" i="27" s="1"/>
  <c r="AI29" i="24"/>
  <c r="Y29" i="27" s="1"/>
  <c r="AJ29" i="24"/>
  <c r="AK29" i="24"/>
  <c r="AA29" i="27" s="1"/>
  <c r="AI30" i="24"/>
  <c r="Y30" i="27" s="1"/>
  <c r="AJ30" i="24"/>
  <c r="Z30" i="27" s="1"/>
  <c r="AK30" i="24"/>
  <c r="AA30" i="27" s="1"/>
  <c r="AI31" i="24"/>
  <c r="Y31" i="27" s="1"/>
  <c r="AJ31" i="24"/>
  <c r="Z31" i="27" s="1"/>
  <c r="AK31" i="24"/>
  <c r="AA31" i="27" s="1"/>
  <c r="A31" i="27"/>
  <c r="A30" i="27"/>
  <c r="O29" i="27"/>
  <c r="A29" i="27"/>
  <c r="A28" i="27"/>
  <c r="A27" i="27"/>
  <c r="O26" i="27"/>
  <c r="A26" i="27"/>
  <c r="A25" i="27"/>
  <c r="A24" i="27"/>
  <c r="A22" i="22" s="1"/>
  <c r="A23" i="27"/>
  <c r="A22" i="27"/>
  <c r="A21" i="27"/>
  <c r="A19" i="22" s="1"/>
  <c r="I19" i="22" s="1"/>
  <c r="R19" i="22" s="1"/>
  <c r="Z19" i="22" s="1"/>
  <c r="A20" i="27"/>
  <c r="A19" i="27"/>
  <c r="O18" i="27"/>
  <c r="A18" i="27"/>
  <c r="A17" i="27"/>
  <c r="A16" i="27"/>
  <c r="A14" i="22" s="1"/>
  <c r="A15" i="27"/>
  <c r="A13" i="22" s="1"/>
  <c r="I13" i="22" s="1"/>
  <c r="A14" i="27"/>
  <c r="A13" i="27"/>
  <c r="O12" i="27"/>
  <c r="A12" i="27"/>
  <c r="A11" i="27"/>
  <c r="A10" i="27"/>
  <c r="A9" i="27"/>
  <c r="A8" i="27"/>
  <c r="A6" i="22" s="1"/>
  <c r="A7" i="27"/>
  <c r="A5" i="22" s="1"/>
  <c r="I5" i="22" s="1"/>
  <c r="R5" i="22" s="1"/>
  <c r="A6" i="27"/>
  <c r="A5" i="27"/>
  <c r="Z48" i="26"/>
  <c r="Y48" i="26"/>
  <c r="Z47" i="26"/>
  <c r="Y47" i="26"/>
  <c r="Z46" i="26"/>
  <c r="Y46" i="26"/>
  <c r="Z45" i="26"/>
  <c r="Y45" i="26"/>
  <c r="Z44" i="26"/>
  <c r="Y44" i="26"/>
  <c r="Z43" i="26"/>
  <c r="Y43" i="26"/>
  <c r="Z42" i="26"/>
  <c r="Y42" i="26"/>
  <c r="Z41" i="26"/>
  <c r="Y41" i="26"/>
  <c r="Z40" i="26"/>
  <c r="Y40" i="26"/>
  <c r="Z39" i="26"/>
  <c r="Y39" i="26"/>
  <c r="Z38" i="26"/>
  <c r="Y38" i="26"/>
  <c r="Z37" i="26"/>
  <c r="Y37" i="26"/>
  <c r="Z36" i="26"/>
  <c r="Y36" i="26"/>
  <c r="Z35" i="26"/>
  <c r="Y35" i="26"/>
  <c r="Z34" i="26"/>
  <c r="Y34" i="26"/>
  <c r="Z33" i="26"/>
  <c r="Y33" i="26"/>
  <c r="Z32" i="26"/>
  <c r="Y32" i="26"/>
  <c r="Z31" i="26"/>
  <c r="Y31" i="26"/>
  <c r="Z30" i="26"/>
  <c r="Y30" i="26"/>
  <c r="Z29" i="26"/>
  <c r="Y29" i="26"/>
  <c r="Z28" i="26"/>
  <c r="Y28" i="26"/>
  <c r="Z27" i="26"/>
  <c r="Y27" i="26"/>
  <c r="Z26" i="26"/>
  <c r="Y26" i="26"/>
  <c r="Z25" i="26"/>
  <c r="Y25" i="26"/>
  <c r="Z24" i="26"/>
  <c r="Y24" i="26"/>
  <c r="Z23" i="26"/>
  <c r="Y23" i="26"/>
  <c r="Z22" i="26"/>
  <c r="Y22" i="26"/>
  <c r="Z21" i="26"/>
  <c r="Y21" i="26"/>
  <c r="Z20" i="26"/>
  <c r="Y20" i="26"/>
  <c r="Z19" i="26"/>
  <c r="Y19" i="26"/>
  <c r="Z18" i="26"/>
  <c r="Y18" i="26"/>
  <c r="Z17" i="26"/>
  <c r="Y17" i="26"/>
  <c r="Z16" i="26"/>
  <c r="Y16" i="26"/>
  <c r="Z15" i="26"/>
  <c r="Y15" i="26"/>
  <c r="Z14" i="26"/>
  <c r="Y14" i="26"/>
  <c r="Z13" i="26"/>
  <c r="Y13" i="26"/>
  <c r="Z12" i="26"/>
  <c r="Y12" i="26"/>
  <c r="Z11" i="26"/>
  <c r="Y11" i="26"/>
  <c r="Z10" i="26"/>
  <c r="Y10" i="26"/>
  <c r="Z9" i="26"/>
  <c r="Y9" i="26"/>
  <c r="Z8" i="26"/>
  <c r="Y8" i="26"/>
  <c r="Z7" i="26"/>
  <c r="Y7" i="26"/>
  <c r="Z6" i="26"/>
  <c r="Y6" i="26"/>
  <c r="S6" i="26"/>
  <c r="BF32" i="24"/>
  <c r="BE32" i="24"/>
  <c r="BD32" i="24"/>
  <c r="BC32" i="24"/>
  <c r="BB32" i="24"/>
  <c r="BA32" i="24"/>
  <c r="AW32" i="24"/>
  <c r="AV32" i="24"/>
  <c r="AU32" i="24"/>
  <c r="AT32" i="24"/>
  <c r="AS32" i="24"/>
  <c r="AR32" i="24"/>
  <c r="O28" i="27"/>
  <c r="O20" i="27"/>
  <c r="D5" i="24"/>
  <c r="C28" i="23"/>
  <c r="C31" i="23" s="1"/>
  <c r="C27" i="23"/>
  <c r="C30" i="23" s="1"/>
  <c r="C10" i="23"/>
  <c r="C15" i="23" s="1"/>
  <c r="A29" i="22"/>
  <c r="I29" i="22" s="1"/>
  <c r="R29" i="22" s="1"/>
  <c r="AB28" i="22"/>
  <c r="Z28" i="22"/>
  <c r="I28" i="22"/>
  <c r="R28" i="22" s="1"/>
  <c r="A28" i="22"/>
  <c r="AB27" i="22"/>
  <c r="A27" i="22"/>
  <c r="I27" i="22" s="1"/>
  <c r="R27" i="22" s="1"/>
  <c r="Z27" i="22" s="1"/>
  <c r="R26" i="22"/>
  <c r="I26" i="22"/>
  <c r="A26" i="22"/>
  <c r="Z25" i="22"/>
  <c r="I25" i="22"/>
  <c r="R25" i="22" s="1"/>
  <c r="AB25" i="22" s="1"/>
  <c r="AJ25" i="22" s="1"/>
  <c r="A25" i="22"/>
  <c r="AB24" i="22"/>
  <c r="I24" i="22"/>
  <c r="R24" i="22" s="1"/>
  <c r="Z24" i="22" s="1"/>
  <c r="A24" i="22"/>
  <c r="AB23" i="22"/>
  <c r="A23" i="22"/>
  <c r="I23" i="22" s="1"/>
  <c r="R23" i="22" s="1"/>
  <c r="Z23" i="22" s="1"/>
  <c r="R22" i="22"/>
  <c r="I22" i="22"/>
  <c r="R21" i="22"/>
  <c r="A21" i="22"/>
  <c r="I21" i="22" s="1"/>
  <c r="I20" i="22"/>
  <c r="R20" i="22" s="1"/>
  <c r="AB20" i="22" s="1"/>
  <c r="AJ20" i="22" s="1"/>
  <c r="A20" i="22"/>
  <c r="I18" i="22"/>
  <c r="R18" i="22" s="1"/>
  <c r="AB18" i="22" s="1"/>
  <c r="A18" i="22"/>
  <c r="A17" i="22"/>
  <c r="I17" i="22" s="1"/>
  <c r="R17" i="22" s="1"/>
  <c r="Z16" i="22"/>
  <c r="I16" i="22"/>
  <c r="R16" i="22" s="1"/>
  <c r="AB16" i="22" s="1"/>
  <c r="AJ16" i="22" s="1"/>
  <c r="A16" i="22"/>
  <c r="AB15" i="22"/>
  <c r="A15" i="22"/>
  <c r="I15" i="22" s="1"/>
  <c r="R15" i="22" s="1"/>
  <c r="Z15" i="22" s="1"/>
  <c r="I14" i="22"/>
  <c r="R14" i="22" s="1"/>
  <c r="AB14" i="22" s="1"/>
  <c r="AB13" i="22"/>
  <c r="R13" i="22"/>
  <c r="Z13" i="22" s="1"/>
  <c r="A12" i="22"/>
  <c r="I12" i="22" s="1"/>
  <c r="R12" i="22" s="1"/>
  <c r="I11" i="22"/>
  <c r="R11" i="22" s="1"/>
  <c r="A11" i="22"/>
  <c r="I10" i="22"/>
  <c r="R10" i="22" s="1"/>
  <c r="A10" i="22"/>
  <c r="I9" i="22"/>
  <c r="R9" i="22" s="1"/>
  <c r="A9" i="22"/>
  <c r="A8" i="22"/>
  <c r="I8" i="22" s="1"/>
  <c r="R8" i="22" s="1"/>
  <c r="Z8" i="22" s="1"/>
  <c r="I7" i="22"/>
  <c r="R7" i="22" s="1"/>
  <c r="A7" i="22"/>
  <c r="I6" i="22"/>
  <c r="R6" i="22" s="1"/>
  <c r="AB4" i="22"/>
  <c r="AJ4" i="22" s="1"/>
  <c r="A4" i="22"/>
  <c r="I4" i="22" s="1"/>
  <c r="R4" i="22" s="1"/>
  <c r="Z4" i="22" s="1"/>
  <c r="R3" i="22"/>
  <c r="AB3" i="22" s="1"/>
  <c r="I3" i="22"/>
  <c r="A3" i="22"/>
  <c r="AJ1" i="22"/>
  <c r="AC7" i="26" l="1"/>
  <c r="E38" i="23"/>
  <c r="G5" i="24"/>
  <c r="D24" i="22"/>
  <c r="L24" i="22" s="1"/>
  <c r="AE24" i="22" s="1"/>
  <c r="O14" i="27"/>
  <c r="O16" i="27"/>
  <c r="O22" i="27"/>
  <c r="O25" i="27"/>
  <c r="O24" i="27"/>
  <c r="D19" i="22"/>
  <c r="L19" i="22" s="1"/>
  <c r="AE19" i="22" s="1"/>
  <c r="D14" i="22"/>
  <c r="L14" i="22" s="1"/>
  <c r="U14" i="22" s="1"/>
  <c r="D10" i="22"/>
  <c r="L10" i="22" s="1"/>
  <c r="AE10" i="22" s="1"/>
  <c r="D6" i="22"/>
  <c r="L6" i="22" s="1"/>
  <c r="U6" i="22" s="1"/>
  <c r="D23" i="22"/>
  <c r="L23" i="22" s="1"/>
  <c r="U23" i="22" s="1"/>
  <c r="D13" i="22"/>
  <c r="L13" i="22" s="1"/>
  <c r="U13" i="22" s="1"/>
  <c r="D18" i="22"/>
  <c r="L18" i="22" s="1"/>
  <c r="D26" i="22"/>
  <c r="L26" i="22" s="1"/>
  <c r="AE26" i="22" s="1"/>
  <c r="AB6" i="22"/>
  <c r="AJ6" i="22" s="1"/>
  <c r="Z6" i="22"/>
  <c r="AB10" i="22"/>
  <c r="AJ10" i="22" s="1"/>
  <c r="Z10" i="22"/>
  <c r="P5" i="24"/>
  <c r="AB5" i="22"/>
  <c r="AJ5" i="22" s="1"/>
  <c r="Z5" i="22"/>
  <c r="AB9" i="22"/>
  <c r="AJ9" i="22" s="1"/>
  <c r="Z9" i="22"/>
  <c r="AB17" i="22"/>
  <c r="AJ17" i="22" s="1"/>
  <c r="Z17" i="22"/>
  <c r="AB29" i="22"/>
  <c r="AJ29" i="22" s="1"/>
  <c r="Z29" i="22"/>
  <c r="D5" i="22"/>
  <c r="L5" i="22" s="1"/>
  <c r="AB7" i="22"/>
  <c r="AJ7" i="22" s="1"/>
  <c r="Z7" i="22"/>
  <c r="AJ14" i="22"/>
  <c r="AJ15" i="22"/>
  <c r="AJ18" i="22"/>
  <c r="AB21" i="22"/>
  <c r="AJ21" i="22" s="1"/>
  <c r="Z21" i="22"/>
  <c r="U24" i="22"/>
  <c r="AJ24" i="22"/>
  <c r="O31" i="27"/>
  <c r="O13" i="27"/>
  <c r="D29" i="22"/>
  <c r="L29" i="22" s="1"/>
  <c r="AJ3" i="22"/>
  <c r="AB8" i="22"/>
  <c r="AJ8" i="22" s="1"/>
  <c r="AB11" i="22"/>
  <c r="AJ11" i="22" s="1"/>
  <c r="Z11" i="22"/>
  <c r="AJ28" i="22"/>
  <c r="O19" i="27"/>
  <c r="O21" i="27"/>
  <c r="D12" i="22"/>
  <c r="L12" i="22" s="1"/>
  <c r="D25" i="22"/>
  <c r="L25" i="22" s="1"/>
  <c r="AB12" i="22"/>
  <c r="AJ12" i="22" s="1"/>
  <c r="Z12" i="22"/>
  <c r="AJ13" i="22"/>
  <c r="Z14" i="22"/>
  <c r="Z18" i="22"/>
  <c r="AB22" i="22"/>
  <c r="AJ22" i="22" s="1"/>
  <c r="Z22" i="22"/>
  <c r="AJ23" i="22"/>
  <c r="C14" i="23"/>
  <c r="O23" i="27"/>
  <c r="X6" i="26"/>
  <c r="X48" i="26"/>
  <c r="X47" i="26"/>
  <c r="X46" i="26"/>
  <c r="X45" i="26"/>
  <c r="X44" i="26"/>
  <c r="X43" i="26"/>
  <c r="X42" i="26"/>
  <c r="X41" i="26"/>
  <c r="X40" i="26"/>
  <c r="X39" i="26"/>
  <c r="X38" i="26"/>
  <c r="X37" i="26"/>
  <c r="X36" i="26"/>
  <c r="X35" i="26"/>
  <c r="X34" i="26"/>
  <c r="X33" i="26"/>
  <c r="X32" i="26"/>
  <c r="X31" i="26"/>
  <c r="X30" i="26"/>
  <c r="X29" i="26"/>
  <c r="X28" i="26"/>
  <c r="X27" i="26"/>
  <c r="X26" i="26"/>
  <c r="X25" i="26"/>
  <c r="X24" i="26"/>
  <c r="X23" i="26"/>
  <c r="X22" i="26"/>
  <c r="X21" i="26"/>
  <c r="X20" i="26"/>
  <c r="X19" i="26"/>
  <c r="X18" i="26"/>
  <c r="X17" i="26"/>
  <c r="X16" i="26"/>
  <c r="X15" i="26"/>
  <c r="X14" i="26"/>
  <c r="X13" i="26"/>
  <c r="X12" i="26"/>
  <c r="X11" i="26"/>
  <c r="X10" i="26"/>
  <c r="X9" i="26"/>
  <c r="X8" i="26"/>
  <c r="X7" i="26"/>
  <c r="Z3" i="22"/>
  <c r="AB19" i="22"/>
  <c r="AJ19" i="22" s="1"/>
  <c r="Z20" i="22"/>
  <c r="AB26" i="22"/>
  <c r="AJ26" i="22" s="1"/>
  <c r="Z26" i="22"/>
  <c r="AJ27" i="22"/>
  <c r="D4" i="22"/>
  <c r="L4" i="22" s="1"/>
  <c r="O17" i="27"/>
  <c r="D21" i="22"/>
  <c r="L21" i="22" s="1"/>
  <c r="D8" i="22"/>
  <c r="L8" i="22" s="1"/>
  <c r="D9" i="22"/>
  <c r="L9" i="22" s="1"/>
  <c r="O15" i="27"/>
  <c r="D16" i="22"/>
  <c r="L16" i="22" s="1"/>
  <c r="D20" i="22"/>
  <c r="L20" i="22" s="1"/>
  <c r="O27" i="27"/>
  <c r="D28" i="22"/>
  <c r="L28" i="22" s="1"/>
  <c r="D17" i="22"/>
  <c r="L17" i="22" s="1"/>
  <c r="D27" i="22"/>
  <c r="L27" i="22" s="1"/>
  <c r="D3" i="22"/>
  <c r="D7" i="22"/>
  <c r="L7" i="22" s="1"/>
  <c r="D11" i="22"/>
  <c r="L11" i="22" s="1"/>
  <c r="D15" i="22"/>
  <c r="L15" i="22" s="1"/>
  <c r="D22" i="22"/>
  <c r="L22" i="22" s="1"/>
  <c r="D45" i="23" l="1"/>
  <c r="P6" i="24"/>
  <c r="AB5" i="24"/>
  <c r="R5" i="27" s="1"/>
  <c r="J5" i="27"/>
  <c r="G6" i="24"/>
  <c r="D7" i="24"/>
  <c r="U19" i="22"/>
  <c r="AE13" i="22"/>
  <c r="AE14" i="22"/>
  <c r="U18" i="22"/>
  <c r="U10" i="22"/>
  <c r="AE23" i="22"/>
  <c r="AE18" i="22"/>
  <c r="AE6" i="22"/>
  <c r="U26" i="22"/>
  <c r="U20" i="22"/>
  <c r="AE20" i="22"/>
  <c r="U21" i="22"/>
  <c r="AE21" i="22"/>
  <c r="AE15" i="22"/>
  <c r="U15" i="22"/>
  <c r="AE27" i="22"/>
  <c r="U27" i="22"/>
  <c r="AE8" i="22"/>
  <c r="U8" i="22"/>
  <c r="AE7" i="22"/>
  <c r="U7" i="22"/>
  <c r="AE11" i="22"/>
  <c r="U11" i="22"/>
  <c r="D41" i="23"/>
  <c r="J5" i="24"/>
  <c r="U25" i="22"/>
  <c r="AE25" i="22"/>
  <c r="U29" i="22"/>
  <c r="AE29" i="22"/>
  <c r="N5" i="27"/>
  <c r="S5" i="24"/>
  <c r="U17" i="22"/>
  <c r="AE17" i="22"/>
  <c r="U9" i="22"/>
  <c r="AE9" i="22"/>
  <c r="U5" i="22"/>
  <c r="AE5" i="22"/>
  <c r="U28" i="22"/>
  <c r="AE28" i="22"/>
  <c r="U12" i="22"/>
  <c r="AE12" i="22"/>
  <c r="U22" i="22"/>
  <c r="AE22" i="22"/>
  <c r="D30" i="22"/>
  <c r="L3" i="22"/>
  <c r="U16" i="22"/>
  <c r="AE16" i="22"/>
  <c r="AE4" i="22"/>
  <c r="U4" i="22"/>
  <c r="X49" i="26"/>
  <c r="G7" i="24" l="1"/>
  <c r="D8" i="24"/>
  <c r="P7" i="24"/>
  <c r="J6" i="27"/>
  <c r="AB6" i="24"/>
  <c r="R6" i="27" s="1"/>
  <c r="AE5" i="24"/>
  <c r="U5" i="27" s="1"/>
  <c r="M5" i="27"/>
  <c r="J6" i="24"/>
  <c r="AF5" i="24"/>
  <c r="V5" i="27" s="1"/>
  <c r="AG5" i="24"/>
  <c r="W5" i="27" s="1"/>
  <c r="AH5" i="24"/>
  <c r="X5" i="27" s="1"/>
  <c r="M5" i="24"/>
  <c r="AD5" i="27"/>
  <c r="D5" i="27"/>
  <c r="L30" i="22"/>
  <c r="U3" i="22"/>
  <c r="U30" i="22" s="1"/>
  <c r="AE3" i="22"/>
  <c r="AE30" i="22" s="1"/>
  <c r="O5" i="27"/>
  <c r="E3" i="22" s="1"/>
  <c r="O3" i="22" s="1"/>
  <c r="S6" i="24"/>
  <c r="N6" i="27"/>
  <c r="C3" i="22" l="1"/>
  <c r="K3" i="22" s="1"/>
  <c r="AJ5" i="24"/>
  <c r="Z5" i="27" s="1"/>
  <c r="AG5" i="27"/>
  <c r="G5" i="27"/>
  <c r="B3" i="22" s="1"/>
  <c r="AK5" i="24"/>
  <c r="AA5" i="27" s="1"/>
  <c r="AI5" i="24"/>
  <c r="Y5" i="27" s="1"/>
  <c r="P8" i="24"/>
  <c r="AB7" i="24"/>
  <c r="R7" i="27" s="1"/>
  <c r="J7" i="27"/>
  <c r="G8" i="24"/>
  <c r="D9" i="24"/>
  <c r="M6" i="27"/>
  <c r="AE6" i="24"/>
  <c r="U6" i="27" s="1"/>
  <c r="J7" i="24"/>
  <c r="AG6" i="24"/>
  <c r="W6" i="27" s="1"/>
  <c r="AF6" i="24"/>
  <c r="V6" i="27" s="1"/>
  <c r="AD6" i="27"/>
  <c r="D6" i="27"/>
  <c r="AH6" i="24"/>
  <c r="X6" i="27" s="1"/>
  <c r="G3" i="22"/>
  <c r="M6" i="24"/>
  <c r="X3" i="22"/>
  <c r="AH3" i="22"/>
  <c r="S7" i="24"/>
  <c r="N7" i="27"/>
  <c r="O6" i="27"/>
  <c r="E4" i="22" s="1"/>
  <c r="O4" i="22" s="1"/>
  <c r="C4" i="22" l="1"/>
  <c r="K4" i="22" s="1"/>
  <c r="G9" i="24"/>
  <c r="D10" i="24"/>
  <c r="P9" i="24"/>
  <c r="AB8" i="24"/>
  <c r="R8" i="27" s="1"/>
  <c r="J8" i="27"/>
  <c r="AG6" i="27"/>
  <c r="G4" i="22" s="1"/>
  <c r="G6" i="27"/>
  <c r="B4" i="22" s="1"/>
  <c r="J4" i="22" s="1"/>
  <c r="AK6" i="24"/>
  <c r="AA6" i="27" s="1"/>
  <c r="AI6" i="24"/>
  <c r="Y6" i="27" s="1"/>
  <c r="AJ6" i="24"/>
  <c r="Z6" i="27" s="1"/>
  <c r="AG7" i="24"/>
  <c r="W7" i="27" s="1"/>
  <c r="AF7" i="24"/>
  <c r="V7" i="27" s="1"/>
  <c r="J8" i="24"/>
  <c r="AD7" i="27"/>
  <c r="D7" i="27"/>
  <c r="AH7" i="24"/>
  <c r="X7" i="27" s="1"/>
  <c r="AE7" i="24"/>
  <c r="U7" i="27" s="1"/>
  <c r="M7" i="27"/>
  <c r="F3" i="22"/>
  <c r="M3" i="22" s="1"/>
  <c r="J3" i="22"/>
  <c r="AH4" i="22"/>
  <c r="X4" i="22"/>
  <c r="M7" i="24"/>
  <c r="N3" i="22"/>
  <c r="T3" i="22"/>
  <c r="AD3" i="22"/>
  <c r="N8" i="27"/>
  <c r="S8" i="24"/>
  <c r="O7" i="27"/>
  <c r="E5" i="22" s="1"/>
  <c r="O5" i="22" s="1"/>
  <c r="C5" i="22" l="1"/>
  <c r="P10" i="24"/>
  <c r="AB9" i="24"/>
  <c r="R9" i="27" s="1"/>
  <c r="J9" i="27"/>
  <c r="D11" i="24"/>
  <c r="G10" i="24"/>
  <c r="J9" i="24"/>
  <c r="AG8" i="24"/>
  <c r="W8" i="27" s="1"/>
  <c r="AF8" i="24"/>
  <c r="V8" i="27" s="1"/>
  <c r="AD8" i="27"/>
  <c r="AH8" i="24"/>
  <c r="X8" i="27" s="1"/>
  <c r="D8" i="27"/>
  <c r="AE8" i="24"/>
  <c r="U8" i="27" s="1"/>
  <c r="M8" i="27"/>
  <c r="G7" i="27"/>
  <c r="B5" i="22" s="1"/>
  <c r="J5" i="22" s="1"/>
  <c r="AI7" i="24"/>
  <c r="Y7" i="27" s="1"/>
  <c r="AG7" i="27"/>
  <c r="AJ7" i="24"/>
  <c r="Z7" i="27" s="1"/>
  <c r="AK7" i="24"/>
  <c r="AA7" i="27" s="1"/>
  <c r="F4" i="22"/>
  <c r="M4" i="22" s="1"/>
  <c r="AH5" i="22"/>
  <c r="X5" i="22"/>
  <c r="N4" i="22"/>
  <c r="K5" i="22"/>
  <c r="G5" i="22"/>
  <c r="N5" i="22" s="1"/>
  <c r="AF3" i="22"/>
  <c r="V3" i="22"/>
  <c r="S3" i="22"/>
  <c r="AC3" i="22"/>
  <c r="P3" i="22"/>
  <c r="N9" i="27"/>
  <c r="S9" i="24"/>
  <c r="W3" i="22"/>
  <c r="AG3" i="22"/>
  <c r="M8" i="24"/>
  <c r="S4" i="22"/>
  <c r="AC4" i="22"/>
  <c r="O8" i="27"/>
  <c r="E6" i="22" s="1"/>
  <c r="O6" i="22" s="1"/>
  <c r="T4" i="22"/>
  <c r="AD4" i="22"/>
  <c r="C6" i="22" l="1"/>
  <c r="D12" i="24"/>
  <c r="G11" i="24"/>
  <c r="AF9" i="24"/>
  <c r="V9" i="27" s="1"/>
  <c r="J10" i="24"/>
  <c r="AG9" i="24"/>
  <c r="W9" i="27" s="1"/>
  <c r="AD9" i="27"/>
  <c r="D9" i="27"/>
  <c r="AH9" i="24"/>
  <c r="X9" i="27" s="1"/>
  <c r="P11" i="24"/>
  <c r="J10" i="27"/>
  <c r="AB10" i="24"/>
  <c r="R10" i="27" s="1"/>
  <c r="AE9" i="24"/>
  <c r="U9" i="27" s="1"/>
  <c r="M9" i="27"/>
  <c r="AI8" i="24"/>
  <c r="Y8" i="27" s="1"/>
  <c r="G8" i="27"/>
  <c r="B6" i="22" s="1"/>
  <c r="J6" i="22" s="1"/>
  <c r="AJ8" i="24"/>
  <c r="Z8" i="27" s="1"/>
  <c r="AK8" i="24"/>
  <c r="AA8" i="27" s="1"/>
  <c r="AG8" i="27"/>
  <c r="G6" i="22" s="1"/>
  <c r="F5" i="22"/>
  <c r="M5" i="22" s="1"/>
  <c r="P5" i="22" s="1"/>
  <c r="K6" i="22"/>
  <c r="S10" i="24"/>
  <c r="N10" i="27"/>
  <c r="V4" i="22"/>
  <c r="AF4" i="22"/>
  <c r="AI3" i="22"/>
  <c r="AC5" i="22"/>
  <c r="S5" i="22"/>
  <c r="O9" i="27"/>
  <c r="E7" i="22" s="1"/>
  <c r="O7" i="22" s="1"/>
  <c r="Y3" i="22"/>
  <c r="AG5" i="22"/>
  <c r="W5" i="22"/>
  <c r="W4" i="22"/>
  <c r="AG4" i="22"/>
  <c r="X6" i="22"/>
  <c r="AH6" i="22"/>
  <c r="P4" i="22"/>
  <c r="M9" i="24"/>
  <c r="AD5" i="22"/>
  <c r="T5" i="22"/>
  <c r="C7" i="22" l="1"/>
  <c r="F6" i="22"/>
  <c r="J11" i="24"/>
  <c r="AF10" i="24"/>
  <c r="V10" i="27" s="1"/>
  <c r="AG10" i="24"/>
  <c r="W10" i="27" s="1"/>
  <c r="AD10" i="27"/>
  <c r="D10" i="27"/>
  <c r="AH10" i="24"/>
  <c r="X10" i="27" s="1"/>
  <c r="P12" i="24"/>
  <c r="AB11" i="24"/>
  <c r="R11" i="27" s="1"/>
  <c r="J11" i="27"/>
  <c r="D13" i="24"/>
  <c r="G12" i="24"/>
  <c r="M10" i="27"/>
  <c r="AE10" i="24"/>
  <c r="U10" i="27" s="1"/>
  <c r="AG9" i="27"/>
  <c r="G7" i="22" s="1"/>
  <c r="AJ9" i="24"/>
  <c r="Z9" i="27" s="1"/>
  <c r="AK9" i="24"/>
  <c r="AA9" i="27" s="1"/>
  <c r="G9" i="27"/>
  <c r="B7" i="22" s="1"/>
  <c r="AI9" i="24"/>
  <c r="Y9" i="27" s="1"/>
  <c r="AI4" i="22"/>
  <c r="M6" i="22"/>
  <c r="K7" i="22"/>
  <c r="N6" i="22"/>
  <c r="M10" i="24"/>
  <c r="AC6" i="22"/>
  <c r="S6" i="22"/>
  <c r="Y4" i="22"/>
  <c r="X7" i="22"/>
  <c r="AH7" i="22"/>
  <c r="O10" i="27"/>
  <c r="E8" i="22" s="1"/>
  <c r="O8" i="22" s="1"/>
  <c r="V5" i="22"/>
  <c r="AF5" i="22"/>
  <c r="N11" i="27"/>
  <c r="S11" i="24"/>
  <c r="T6" i="22"/>
  <c r="AD6" i="22"/>
  <c r="C8" i="22" l="1"/>
  <c r="K8" i="22" s="1"/>
  <c r="AD8" i="22" s="1"/>
  <c r="D14" i="24"/>
  <c r="G13" i="24"/>
  <c r="P13" i="24"/>
  <c r="J12" i="27"/>
  <c r="AB12" i="24"/>
  <c r="R12" i="27" s="1"/>
  <c r="J12" i="24"/>
  <c r="AG11" i="24"/>
  <c r="W11" i="27" s="1"/>
  <c r="AF11" i="24"/>
  <c r="V11" i="27" s="1"/>
  <c r="AH11" i="24"/>
  <c r="X11" i="27" s="1"/>
  <c r="AD11" i="27"/>
  <c r="D11" i="27"/>
  <c r="AE11" i="24"/>
  <c r="U11" i="27" s="1"/>
  <c r="M11" i="27"/>
  <c r="AK10" i="24"/>
  <c r="AA10" i="27" s="1"/>
  <c r="AG10" i="27"/>
  <c r="G8" i="22" s="1"/>
  <c r="N8" i="22" s="1"/>
  <c r="AI10" i="24"/>
  <c r="Y10" i="27" s="1"/>
  <c r="AJ10" i="24"/>
  <c r="Z10" i="27" s="1"/>
  <c r="G10" i="27"/>
  <c r="B8" i="22" s="1"/>
  <c r="J8" i="22" s="1"/>
  <c r="P6" i="22"/>
  <c r="F7" i="22"/>
  <c r="M7" i="22" s="1"/>
  <c r="AH8" i="22"/>
  <c r="X8" i="22"/>
  <c r="J7" i="22"/>
  <c r="N7" i="22"/>
  <c r="T8" i="22"/>
  <c r="AI5" i="22"/>
  <c r="AD7" i="22"/>
  <c r="T7" i="22"/>
  <c r="O11" i="27"/>
  <c r="E9" i="22" s="1"/>
  <c r="O9" i="22" s="1"/>
  <c r="M11" i="24"/>
  <c r="AG6" i="22"/>
  <c r="W6" i="22"/>
  <c r="N12" i="27"/>
  <c r="E10" i="22" s="1"/>
  <c r="O10" i="22" s="1"/>
  <c r="R6" i="26"/>
  <c r="Y5" i="22"/>
  <c r="AF6" i="22"/>
  <c r="V6" i="22"/>
  <c r="C9" i="22" l="1"/>
  <c r="K9" i="22" s="1"/>
  <c r="C10" i="22"/>
  <c r="K10" i="22" s="1"/>
  <c r="T10" i="22" s="1"/>
  <c r="F8" i="22"/>
  <c r="M8" i="22" s="1"/>
  <c r="P8" i="22" s="1"/>
  <c r="P14" i="24"/>
  <c r="AB13" i="24"/>
  <c r="R13" i="27" s="1"/>
  <c r="J13" i="27"/>
  <c r="J13" i="24"/>
  <c r="AG12" i="24"/>
  <c r="W12" i="27" s="1"/>
  <c r="V12" i="27"/>
  <c r="D12" i="27"/>
  <c r="B10" i="22" s="1"/>
  <c r="J10" i="22" s="1"/>
  <c r="AD12" i="27"/>
  <c r="G10" i="22" s="1"/>
  <c r="N10" i="22" s="1"/>
  <c r="AH12" i="24"/>
  <c r="X12" i="27" s="1"/>
  <c r="D15" i="24"/>
  <c r="G14" i="24"/>
  <c r="Y6" i="22"/>
  <c r="AI6" i="22"/>
  <c r="G11" i="27"/>
  <c r="B9" i="22" s="1"/>
  <c r="J9" i="22" s="1"/>
  <c r="AI11" i="24"/>
  <c r="Y11" i="27" s="1"/>
  <c r="AG11" i="27"/>
  <c r="G9" i="22" s="1"/>
  <c r="N9" i="22" s="1"/>
  <c r="AJ11" i="24"/>
  <c r="Z11" i="27" s="1"/>
  <c r="AK11" i="24"/>
  <c r="AA11" i="27" s="1"/>
  <c r="AH9" i="22"/>
  <c r="X9" i="22"/>
  <c r="W8" i="22"/>
  <c r="AG8" i="22"/>
  <c r="AD9" i="22"/>
  <c r="T9" i="22"/>
  <c r="AC8" i="22"/>
  <c r="S8" i="22"/>
  <c r="N13" i="27"/>
  <c r="E11" i="22" s="1"/>
  <c r="O11" i="22" s="1"/>
  <c r="S7" i="22"/>
  <c r="AC7" i="22"/>
  <c r="P7" i="22"/>
  <c r="AF7" i="22"/>
  <c r="V7" i="22"/>
  <c r="W7" i="26"/>
  <c r="W6" i="26"/>
  <c r="W45" i="26"/>
  <c r="W41" i="26"/>
  <c r="W37" i="26"/>
  <c r="W33" i="26"/>
  <c r="W29" i="26"/>
  <c r="W25" i="26"/>
  <c r="W21" i="26"/>
  <c r="W17" i="26"/>
  <c r="W13" i="26"/>
  <c r="W9" i="26"/>
  <c r="W46" i="26"/>
  <c r="W42" i="26"/>
  <c r="W38" i="26"/>
  <c r="W34" i="26"/>
  <c r="W30" i="26"/>
  <c r="W26" i="26"/>
  <c r="W22" i="26"/>
  <c r="W18" i="26"/>
  <c r="W14" i="26"/>
  <c r="W10" i="26"/>
  <c r="W47" i="26"/>
  <c r="W43" i="26"/>
  <c r="W39" i="26"/>
  <c r="W35" i="26"/>
  <c r="W31" i="26"/>
  <c r="W27" i="26"/>
  <c r="W23" i="26"/>
  <c r="W19" i="26"/>
  <c r="W15" i="26"/>
  <c r="W11" i="26"/>
  <c r="W48" i="26"/>
  <c r="W44" i="26"/>
  <c r="W40" i="26"/>
  <c r="W36" i="26"/>
  <c r="W32" i="26"/>
  <c r="W28" i="26"/>
  <c r="W24" i="26"/>
  <c r="W20" i="26"/>
  <c r="W16" i="26"/>
  <c r="W12" i="26"/>
  <c r="W8" i="26"/>
  <c r="W7" i="22"/>
  <c r="AG7" i="22"/>
  <c r="X10" i="22"/>
  <c r="AH10" i="22"/>
  <c r="V8" i="22" l="1"/>
  <c r="AD10" i="22"/>
  <c r="AF8" i="22"/>
  <c r="AI8" i="22" s="1"/>
  <c r="C11" i="22"/>
  <c r="K11" i="22" s="1"/>
  <c r="T11" i="22" s="1"/>
  <c r="J14" i="24"/>
  <c r="AG13" i="24"/>
  <c r="W13" i="27" s="1"/>
  <c r="AF13" i="24"/>
  <c r="V13" i="27" s="1"/>
  <c r="AH13" i="24"/>
  <c r="X13" i="27" s="1"/>
  <c r="AD13" i="27"/>
  <c r="G11" i="22" s="1"/>
  <c r="N11" i="22" s="1"/>
  <c r="D13" i="27"/>
  <c r="B11" i="22" s="1"/>
  <c r="J11" i="22" s="1"/>
  <c r="D16" i="24"/>
  <c r="G15" i="24"/>
  <c r="P15" i="24"/>
  <c r="J14" i="27"/>
  <c r="AB14" i="24"/>
  <c r="R14" i="27" s="1"/>
  <c r="F9" i="22"/>
  <c r="M9" i="22" s="1"/>
  <c r="V9" i="22" s="1"/>
  <c r="F10" i="22"/>
  <c r="M10" i="22" s="1"/>
  <c r="AF10" i="22" s="1"/>
  <c r="AG9" i="22"/>
  <c r="W9" i="22"/>
  <c r="AC9" i="22"/>
  <c r="S9" i="22"/>
  <c r="W49" i="26"/>
  <c r="X50" i="26" s="1"/>
  <c r="AC6" i="26"/>
  <c r="Y7" i="22"/>
  <c r="Y8" i="22"/>
  <c r="AI7" i="22"/>
  <c r="N14" i="27"/>
  <c r="E12" i="22" s="1"/>
  <c r="O12" i="22" s="1"/>
  <c r="AC10" i="22"/>
  <c r="S10" i="22"/>
  <c r="AG10" i="22"/>
  <c r="W10" i="22"/>
  <c r="AH11" i="22"/>
  <c r="X11" i="22"/>
  <c r="AD11" i="22" l="1"/>
  <c r="P16" i="24"/>
  <c r="AB15" i="24"/>
  <c r="R15" i="27" s="1"/>
  <c r="J15" i="27"/>
  <c r="D17" i="24"/>
  <c r="G16" i="24"/>
  <c r="J15" i="24"/>
  <c r="AF14" i="24"/>
  <c r="V14" i="27" s="1"/>
  <c r="AG14" i="24"/>
  <c r="W14" i="27" s="1"/>
  <c r="AD14" i="27"/>
  <c r="G12" i="22" s="1"/>
  <c r="N12" i="22" s="1"/>
  <c r="D14" i="27"/>
  <c r="B12" i="22" s="1"/>
  <c r="J12" i="22" s="1"/>
  <c r="AH14" i="24"/>
  <c r="X14" i="27" s="1"/>
  <c r="P10" i="22"/>
  <c r="V10" i="22"/>
  <c r="Y10" i="22" s="1"/>
  <c r="AF9" i="22"/>
  <c r="AI9" i="22" s="1"/>
  <c r="P9" i="22"/>
  <c r="AI10" i="22"/>
  <c r="Y9" i="22"/>
  <c r="W11" i="22"/>
  <c r="AG11" i="22"/>
  <c r="AH12" i="22"/>
  <c r="X12" i="22"/>
  <c r="F11" i="22"/>
  <c r="M11" i="22" s="1"/>
  <c r="P11" i="22" s="1"/>
  <c r="N15" i="27"/>
  <c r="E13" i="22" s="1"/>
  <c r="O13" i="22" s="1"/>
  <c r="S11" i="22"/>
  <c r="AC11" i="22"/>
  <c r="C12" i="22"/>
  <c r="K12" i="22" s="1"/>
  <c r="F12" i="22" l="1"/>
  <c r="M12" i="22" s="1"/>
  <c r="P12" i="22" s="1"/>
  <c r="D18" i="24"/>
  <c r="G17" i="24"/>
  <c r="J16" i="24"/>
  <c r="AG15" i="24"/>
  <c r="W15" i="27" s="1"/>
  <c r="AF15" i="24"/>
  <c r="V15" i="27" s="1"/>
  <c r="AD15" i="27"/>
  <c r="G13" i="22" s="1"/>
  <c r="N13" i="22" s="1"/>
  <c r="D15" i="27"/>
  <c r="B13" i="22" s="1"/>
  <c r="J13" i="22" s="1"/>
  <c r="AH15" i="24"/>
  <c r="X15" i="27" s="1"/>
  <c r="P17" i="24"/>
  <c r="AB16" i="24"/>
  <c r="R16" i="27" s="1"/>
  <c r="J16" i="27"/>
  <c r="X13" i="22"/>
  <c r="AH13" i="22"/>
  <c r="AG12" i="22"/>
  <c r="W12" i="22"/>
  <c r="N16" i="27"/>
  <c r="E14" i="22" s="1"/>
  <c r="O14" i="22" s="1"/>
  <c r="AC12" i="22"/>
  <c r="S12" i="22"/>
  <c r="AD12" i="22"/>
  <c r="T12" i="22"/>
  <c r="C13" i="22"/>
  <c r="K13" i="22" s="1"/>
  <c r="AF11" i="22"/>
  <c r="AI11" i="22" s="1"/>
  <c r="V11" i="22"/>
  <c r="Y11" i="22" s="1"/>
  <c r="V12" i="22" l="1"/>
  <c r="Y12" i="22" s="1"/>
  <c r="AF12" i="22"/>
  <c r="AI12" i="22" s="1"/>
  <c r="C14" i="22"/>
  <c r="K14" i="22" s="1"/>
  <c r="J17" i="24"/>
  <c r="AG16" i="24"/>
  <c r="W16" i="27" s="1"/>
  <c r="AF16" i="24"/>
  <c r="V16" i="27" s="1"/>
  <c r="AD16" i="27"/>
  <c r="G14" i="22" s="1"/>
  <c r="N14" i="22" s="1"/>
  <c r="D16" i="27"/>
  <c r="B14" i="22" s="1"/>
  <c r="J14" i="22" s="1"/>
  <c r="AH16" i="24"/>
  <c r="X16" i="27" s="1"/>
  <c r="P18" i="24"/>
  <c r="AB17" i="24"/>
  <c r="R17" i="27" s="1"/>
  <c r="J17" i="27"/>
  <c r="C15" i="22" s="1"/>
  <c r="K15" i="22" s="1"/>
  <c r="D19" i="24"/>
  <c r="G18" i="24"/>
  <c r="N17" i="27"/>
  <c r="E15" i="22" s="1"/>
  <c r="O15" i="22" s="1"/>
  <c r="T13" i="22"/>
  <c r="AD13" i="22"/>
  <c r="AG13" i="22"/>
  <c r="W13" i="22"/>
  <c r="T14" i="22"/>
  <c r="AD14" i="22"/>
  <c r="F13" i="22"/>
  <c r="M13" i="22" s="1"/>
  <c r="X14" i="22"/>
  <c r="AH14" i="22"/>
  <c r="AC13" i="22"/>
  <c r="S13" i="22"/>
  <c r="D20" i="24" l="1"/>
  <c r="G19" i="24"/>
  <c r="P19" i="24"/>
  <c r="J18" i="27"/>
  <c r="AB18" i="24"/>
  <c r="R18" i="27" s="1"/>
  <c r="J18" i="24"/>
  <c r="AF17" i="24"/>
  <c r="V17" i="27" s="1"/>
  <c r="AG17" i="24"/>
  <c r="W17" i="27" s="1"/>
  <c r="AH17" i="24"/>
  <c r="X17" i="27" s="1"/>
  <c r="AD17" i="27"/>
  <c r="G15" i="22" s="1"/>
  <c r="N15" i="22" s="1"/>
  <c r="D17" i="27"/>
  <c r="F14" i="22"/>
  <c r="M14" i="22" s="1"/>
  <c r="V14" i="22" s="1"/>
  <c r="S14" i="22"/>
  <c r="AC14" i="22"/>
  <c r="AF13" i="22"/>
  <c r="AI13" i="22" s="1"/>
  <c r="V13" i="22"/>
  <c r="Y13" i="22" s="1"/>
  <c r="AD15" i="22"/>
  <c r="T15" i="22"/>
  <c r="W14" i="22"/>
  <c r="AG14" i="22"/>
  <c r="X15" i="22"/>
  <c r="AH15" i="22"/>
  <c r="B15" i="22"/>
  <c r="J15" i="22" s="1"/>
  <c r="P13" i="22"/>
  <c r="N18" i="27"/>
  <c r="E16" i="22" s="1"/>
  <c r="O16" i="22" s="1"/>
  <c r="C16" i="22" l="1"/>
  <c r="K16" i="22" s="1"/>
  <c r="AD16" i="22" s="1"/>
  <c r="J19" i="24"/>
  <c r="AF18" i="24"/>
  <c r="V18" i="27" s="1"/>
  <c r="AG18" i="24"/>
  <c r="W18" i="27" s="1"/>
  <c r="AD18" i="27"/>
  <c r="G16" i="22" s="1"/>
  <c r="N16" i="22" s="1"/>
  <c r="D18" i="27"/>
  <c r="B16" i="22" s="1"/>
  <c r="J16" i="22" s="1"/>
  <c r="AH18" i="24"/>
  <c r="X18" i="27" s="1"/>
  <c r="P20" i="24"/>
  <c r="AB19" i="24"/>
  <c r="R19" i="27" s="1"/>
  <c r="J19" i="27"/>
  <c r="D21" i="24"/>
  <c r="G20" i="24"/>
  <c r="P14" i="22"/>
  <c r="AF14" i="22"/>
  <c r="AI14" i="22" s="1"/>
  <c r="Y14" i="22"/>
  <c r="F15" i="22"/>
  <c r="M15" i="22" s="1"/>
  <c r="P15" i="22" s="1"/>
  <c r="N19" i="27"/>
  <c r="E17" i="22" s="1"/>
  <c r="O17" i="22" s="1"/>
  <c r="AH16" i="22"/>
  <c r="X16" i="22"/>
  <c r="S15" i="22"/>
  <c r="AC15" i="22"/>
  <c r="W15" i="22"/>
  <c r="AG15" i="22"/>
  <c r="T16" i="22" l="1"/>
  <c r="C17" i="22"/>
  <c r="K17" i="22" s="1"/>
  <c r="P21" i="24"/>
  <c r="AB20" i="24"/>
  <c r="R20" i="27" s="1"/>
  <c r="J20" i="27"/>
  <c r="D22" i="24"/>
  <c r="G21" i="24"/>
  <c r="J20" i="24"/>
  <c r="AG19" i="24"/>
  <c r="W19" i="27" s="1"/>
  <c r="AF19" i="24"/>
  <c r="V19" i="27" s="1"/>
  <c r="AD19" i="27"/>
  <c r="G17" i="22" s="1"/>
  <c r="N17" i="22" s="1"/>
  <c r="D19" i="27"/>
  <c r="B17" i="22" s="1"/>
  <c r="J17" i="22" s="1"/>
  <c r="AH19" i="24"/>
  <c r="X19" i="27" s="1"/>
  <c r="F16" i="22"/>
  <c r="M16" i="22" s="1"/>
  <c r="V16" i="22" s="1"/>
  <c r="T17" i="22"/>
  <c r="AD17" i="22"/>
  <c r="W16" i="22"/>
  <c r="AG16" i="22"/>
  <c r="V15" i="22"/>
  <c r="Y15" i="22" s="1"/>
  <c r="AF15" i="22"/>
  <c r="AI15" i="22" s="1"/>
  <c r="X17" i="22"/>
  <c r="AH17" i="22"/>
  <c r="N20" i="27"/>
  <c r="E18" i="22" s="1"/>
  <c r="O18" i="22" s="1"/>
  <c r="AC16" i="22"/>
  <c r="S16" i="22"/>
  <c r="J21" i="24" l="1"/>
  <c r="AG20" i="24"/>
  <c r="W20" i="27" s="1"/>
  <c r="AF20" i="24"/>
  <c r="V20" i="27" s="1"/>
  <c r="AH20" i="24"/>
  <c r="X20" i="27" s="1"/>
  <c r="D20" i="27"/>
  <c r="B18" i="22" s="1"/>
  <c r="J18" i="22" s="1"/>
  <c r="AD20" i="27"/>
  <c r="G18" i="22" s="1"/>
  <c r="N18" i="22" s="1"/>
  <c r="D23" i="24"/>
  <c r="G22" i="24"/>
  <c r="P22" i="24"/>
  <c r="AB21" i="24"/>
  <c r="R21" i="27" s="1"/>
  <c r="J21" i="27"/>
  <c r="AF16" i="22"/>
  <c r="AI16" i="22" s="1"/>
  <c r="P16" i="22"/>
  <c r="Y16" i="22"/>
  <c r="AC17" i="22"/>
  <c r="S17" i="22"/>
  <c r="C18" i="22"/>
  <c r="K18" i="22" s="1"/>
  <c r="F17" i="22"/>
  <c r="M17" i="22" s="1"/>
  <c r="N21" i="27"/>
  <c r="E19" i="22" s="1"/>
  <c r="O19" i="22" s="1"/>
  <c r="X18" i="22"/>
  <c r="AH18" i="22"/>
  <c r="AG17" i="22"/>
  <c r="W17" i="22"/>
  <c r="D24" i="24" l="1"/>
  <c r="G23" i="24"/>
  <c r="P23" i="24"/>
  <c r="AB22" i="24"/>
  <c r="R22" i="27" s="1"/>
  <c r="J22" i="27"/>
  <c r="J22" i="24"/>
  <c r="AG21" i="24"/>
  <c r="W21" i="27" s="1"/>
  <c r="AF21" i="24"/>
  <c r="V21" i="27" s="1"/>
  <c r="AH21" i="24"/>
  <c r="X21" i="27" s="1"/>
  <c r="AD21" i="27"/>
  <c r="G19" i="22" s="1"/>
  <c r="N19" i="22" s="1"/>
  <c r="D21" i="27"/>
  <c r="B19" i="22" s="1"/>
  <c r="J19" i="22" s="1"/>
  <c r="N22" i="27"/>
  <c r="E20" i="22" s="1"/>
  <c r="O20" i="22" s="1"/>
  <c r="V17" i="22"/>
  <c r="AF17" i="22"/>
  <c r="AI17" i="22" s="1"/>
  <c r="S18" i="22"/>
  <c r="AC18" i="22"/>
  <c r="Y17" i="22"/>
  <c r="F18" i="22"/>
  <c r="M18" i="22" s="1"/>
  <c r="P18" i="22" s="1"/>
  <c r="C19" i="22"/>
  <c r="K19" i="22" s="1"/>
  <c r="P17" i="22"/>
  <c r="W18" i="22"/>
  <c r="AG18" i="22"/>
  <c r="X19" i="22"/>
  <c r="AH19" i="22"/>
  <c r="T18" i="22"/>
  <c r="AD18" i="22"/>
  <c r="P24" i="24" l="1"/>
  <c r="AB23" i="24"/>
  <c r="R23" i="27" s="1"/>
  <c r="J23" i="27"/>
  <c r="J23" i="24"/>
  <c r="AF22" i="24"/>
  <c r="V22" i="27" s="1"/>
  <c r="AG22" i="24"/>
  <c r="W22" i="27" s="1"/>
  <c r="AD22" i="27"/>
  <c r="D22" i="27"/>
  <c r="B20" i="22" s="1"/>
  <c r="J20" i="22" s="1"/>
  <c r="AH22" i="24"/>
  <c r="X22" i="27" s="1"/>
  <c r="D25" i="24"/>
  <c r="G24" i="24"/>
  <c r="N23" i="27"/>
  <c r="E21" i="22" s="1"/>
  <c r="O21" i="22" s="1"/>
  <c r="AH20" i="22"/>
  <c r="X20" i="22"/>
  <c r="G20" i="22"/>
  <c r="N20" i="22" s="1"/>
  <c r="AD19" i="22"/>
  <c r="T19" i="22"/>
  <c r="S19" i="22"/>
  <c r="AC19" i="22"/>
  <c r="AF18" i="22"/>
  <c r="AI18" i="22" s="1"/>
  <c r="V18" i="22"/>
  <c r="Y18" i="22" s="1"/>
  <c r="C20" i="22"/>
  <c r="K20" i="22" s="1"/>
  <c r="F19" i="22"/>
  <c r="M19" i="22" s="1"/>
  <c r="P19" i="22" s="1"/>
  <c r="W19" i="22"/>
  <c r="AG19" i="22"/>
  <c r="C21" i="22" l="1"/>
  <c r="K21" i="22" s="1"/>
  <c r="T21" i="22" s="1"/>
  <c r="F20" i="22"/>
  <c r="M20" i="22" s="1"/>
  <c r="P20" i="22" s="1"/>
  <c r="J24" i="24"/>
  <c r="AG23" i="24"/>
  <c r="W23" i="27" s="1"/>
  <c r="AF23" i="24"/>
  <c r="V23" i="27" s="1"/>
  <c r="AD23" i="27"/>
  <c r="G21" i="22" s="1"/>
  <c r="N21" i="22" s="1"/>
  <c r="D23" i="27"/>
  <c r="B21" i="22" s="1"/>
  <c r="J21" i="22" s="1"/>
  <c r="AH23" i="24"/>
  <c r="X23" i="27" s="1"/>
  <c r="D26" i="24"/>
  <c r="G25" i="24"/>
  <c r="P25" i="24"/>
  <c r="AB24" i="24"/>
  <c r="R24" i="27" s="1"/>
  <c r="J24" i="27"/>
  <c r="AC20" i="22"/>
  <c r="S20" i="22"/>
  <c r="N24" i="27"/>
  <c r="E22" i="22" s="1"/>
  <c r="O22" i="22" s="1"/>
  <c r="AD20" i="22"/>
  <c r="T20" i="22"/>
  <c r="X21" i="22"/>
  <c r="AH21" i="22"/>
  <c r="V19" i="22"/>
  <c r="Y19" i="22" s="1"/>
  <c r="AF19" i="22"/>
  <c r="AI19" i="22" s="1"/>
  <c r="W20" i="22"/>
  <c r="AG20" i="22"/>
  <c r="V20" i="22" l="1"/>
  <c r="AD21" i="22"/>
  <c r="AF20" i="22"/>
  <c r="AI20" i="22" s="1"/>
  <c r="D27" i="24"/>
  <c r="G26" i="24"/>
  <c r="P26" i="24"/>
  <c r="AB25" i="24"/>
  <c r="R25" i="27" s="1"/>
  <c r="J25" i="27"/>
  <c r="J25" i="24"/>
  <c r="AF24" i="24"/>
  <c r="V24" i="27" s="1"/>
  <c r="AG24" i="24"/>
  <c r="W24" i="27" s="1"/>
  <c r="AD24" i="27"/>
  <c r="G22" i="22" s="1"/>
  <c r="N22" i="22" s="1"/>
  <c r="D24" i="27"/>
  <c r="B22" i="22" s="1"/>
  <c r="J22" i="22" s="1"/>
  <c r="AH24" i="24"/>
  <c r="X24" i="27" s="1"/>
  <c r="AG21" i="22"/>
  <c r="W21" i="22"/>
  <c r="C22" i="22"/>
  <c r="K22" i="22" s="1"/>
  <c r="AC21" i="22"/>
  <c r="S21" i="22"/>
  <c r="AH22" i="22"/>
  <c r="X22" i="22"/>
  <c r="Y20" i="22"/>
  <c r="F21" i="22"/>
  <c r="M21" i="22" s="1"/>
  <c r="N25" i="27"/>
  <c r="E23" i="22" s="1"/>
  <c r="O23" i="22" s="1"/>
  <c r="C23" i="22" l="1"/>
  <c r="K23" i="22" s="1"/>
  <c r="T23" i="22" s="1"/>
  <c r="P27" i="24"/>
  <c r="J26" i="27"/>
  <c r="AB26" i="24"/>
  <c r="R26" i="27" s="1"/>
  <c r="J26" i="24"/>
  <c r="AF25" i="24"/>
  <c r="V25" i="27" s="1"/>
  <c r="AG25" i="24"/>
  <c r="W25" i="27" s="1"/>
  <c r="AD25" i="27"/>
  <c r="G23" i="22" s="1"/>
  <c r="N23" i="22" s="1"/>
  <c r="D25" i="27"/>
  <c r="B23" i="22" s="1"/>
  <c r="J23" i="22" s="1"/>
  <c r="AH25" i="24"/>
  <c r="X25" i="27" s="1"/>
  <c r="D28" i="24"/>
  <c r="G27" i="24"/>
  <c r="W22" i="22"/>
  <c r="AG22" i="22"/>
  <c r="X23" i="22"/>
  <c r="AH23" i="22"/>
  <c r="T22" i="22"/>
  <c r="AD22" i="22"/>
  <c r="V21" i="22"/>
  <c r="Y21" i="22" s="1"/>
  <c r="AF21" i="22"/>
  <c r="AI21" i="22" s="1"/>
  <c r="F22" i="22"/>
  <c r="M22" i="22" s="1"/>
  <c r="P22" i="22" s="1"/>
  <c r="N26" i="27"/>
  <c r="E24" i="22" s="1"/>
  <c r="O24" i="22" s="1"/>
  <c r="P21" i="22"/>
  <c r="S22" i="22"/>
  <c r="AC22" i="22"/>
  <c r="AD23" i="22" l="1"/>
  <c r="F23" i="22"/>
  <c r="M23" i="22" s="1"/>
  <c r="AF23" i="22" s="1"/>
  <c r="J27" i="24"/>
  <c r="AF26" i="24"/>
  <c r="V26" i="27" s="1"/>
  <c r="AG26" i="24"/>
  <c r="W26" i="27" s="1"/>
  <c r="AD26" i="27"/>
  <c r="G24" i="22" s="1"/>
  <c r="N24" i="22" s="1"/>
  <c r="D26" i="27"/>
  <c r="B24" i="22" s="1"/>
  <c r="J24" i="22" s="1"/>
  <c r="AH26" i="24"/>
  <c r="X26" i="27" s="1"/>
  <c r="D29" i="24"/>
  <c r="G28" i="24"/>
  <c r="P28" i="24"/>
  <c r="AB27" i="24"/>
  <c r="R27" i="27" s="1"/>
  <c r="J27" i="27"/>
  <c r="S23" i="22"/>
  <c r="AC23" i="22"/>
  <c r="N27" i="27"/>
  <c r="E25" i="22" s="1"/>
  <c r="O25" i="22" s="1"/>
  <c r="W23" i="22"/>
  <c r="AG23" i="22"/>
  <c r="AH24" i="22"/>
  <c r="X24" i="22"/>
  <c r="C24" i="22"/>
  <c r="K24" i="22" s="1"/>
  <c r="AF22" i="22"/>
  <c r="AI22" i="22" s="1"/>
  <c r="V22" i="22"/>
  <c r="Y22" i="22" s="1"/>
  <c r="V23" i="22" l="1"/>
  <c r="Y23" i="22" s="1"/>
  <c r="P23" i="22"/>
  <c r="D30" i="24"/>
  <c r="G29" i="24"/>
  <c r="P29" i="24"/>
  <c r="AB28" i="24"/>
  <c r="R28" i="27" s="1"/>
  <c r="J28" i="27"/>
  <c r="J28" i="24"/>
  <c r="AG27" i="24"/>
  <c r="W27" i="27" s="1"/>
  <c r="AF27" i="24"/>
  <c r="V27" i="27" s="1"/>
  <c r="AH27" i="24"/>
  <c r="X27" i="27" s="1"/>
  <c r="AD27" i="27"/>
  <c r="G25" i="22" s="1"/>
  <c r="N25" i="22" s="1"/>
  <c r="D27" i="27"/>
  <c r="B25" i="22" s="1"/>
  <c r="J25" i="22" s="1"/>
  <c r="N28" i="27"/>
  <c r="E26" i="22" s="1"/>
  <c r="O26" i="22" s="1"/>
  <c r="W24" i="22"/>
  <c r="AG24" i="22"/>
  <c r="X25" i="22"/>
  <c r="AH25" i="22"/>
  <c r="S24" i="22"/>
  <c r="AC24" i="22"/>
  <c r="AD24" i="22"/>
  <c r="T24" i="22"/>
  <c r="AI23" i="22"/>
  <c r="F24" i="22"/>
  <c r="M24" i="22" s="1"/>
  <c r="P24" i="22" s="1"/>
  <c r="C25" i="22"/>
  <c r="K25" i="22" s="1"/>
  <c r="P30" i="24" l="1"/>
  <c r="J29" i="27"/>
  <c r="AB29" i="24"/>
  <c r="R29" i="27" s="1"/>
  <c r="J29" i="24"/>
  <c r="AG28" i="24"/>
  <c r="W28" i="27" s="1"/>
  <c r="AF28" i="24"/>
  <c r="V28" i="27" s="1"/>
  <c r="AD28" i="27"/>
  <c r="G26" i="22" s="1"/>
  <c r="N26" i="22" s="1"/>
  <c r="D28" i="27"/>
  <c r="B26" i="22" s="1"/>
  <c r="J26" i="22" s="1"/>
  <c r="AH28" i="24"/>
  <c r="X28" i="27" s="1"/>
  <c r="D31" i="24"/>
  <c r="G31" i="24" s="1"/>
  <c r="G30" i="24"/>
  <c r="F25" i="22"/>
  <c r="M25" i="22" s="1"/>
  <c r="V25" i="22" s="1"/>
  <c r="C26" i="22"/>
  <c r="K26" i="22" s="1"/>
  <c r="N29" i="27"/>
  <c r="E27" i="22" s="1"/>
  <c r="O27" i="22" s="1"/>
  <c r="AG25" i="22"/>
  <c r="W25" i="22"/>
  <c r="T25" i="22"/>
  <c r="AD25" i="22"/>
  <c r="V24" i="22"/>
  <c r="Y24" i="22" s="1"/>
  <c r="AF24" i="22"/>
  <c r="AI24" i="22" s="1"/>
  <c r="AC25" i="22"/>
  <c r="S25" i="22"/>
  <c r="X26" i="22"/>
  <c r="AH26" i="22"/>
  <c r="J30" i="24" l="1"/>
  <c r="AG29" i="24"/>
  <c r="W29" i="27" s="1"/>
  <c r="AF29" i="24"/>
  <c r="V29" i="27" s="1"/>
  <c r="AH29" i="24"/>
  <c r="X29" i="27" s="1"/>
  <c r="AD29" i="27"/>
  <c r="G27" i="22" s="1"/>
  <c r="N27" i="22" s="1"/>
  <c r="D29" i="27"/>
  <c r="B27" i="22" s="1"/>
  <c r="J27" i="22" s="1"/>
  <c r="P31" i="24"/>
  <c r="AB30" i="24"/>
  <c r="R30" i="27" s="1"/>
  <c r="J30" i="27"/>
  <c r="P25" i="22"/>
  <c r="AF25" i="22"/>
  <c r="AI25" i="22" s="1"/>
  <c r="Y25" i="22"/>
  <c r="F26" i="22"/>
  <c r="M26" i="22" s="1"/>
  <c r="AF26" i="22" s="1"/>
  <c r="N30" i="27"/>
  <c r="E28" i="22" s="1"/>
  <c r="O28" i="22" s="1"/>
  <c r="T26" i="22"/>
  <c r="AD26" i="22"/>
  <c r="S26" i="22"/>
  <c r="AC26" i="22"/>
  <c r="C27" i="22"/>
  <c r="K27" i="22" s="1"/>
  <c r="W26" i="22"/>
  <c r="AG26" i="22"/>
  <c r="X27" i="22"/>
  <c r="AH27" i="22"/>
  <c r="AB31" i="24" l="1"/>
  <c r="R31" i="27" s="1"/>
  <c r="J31" i="27"/>
  <c r="J31" i="24"/>
  <c r="AF30" i="24"/>
  <c r="V30" i="27" s="1"/>
  <c r="AG30" i="24"/>
  <c r="W30" i="27" s="1"/>
  <c r="AD30" i="27"/>
  <c r="D30" i="27"/>
  <c r="AH30" i="24"/>
  <c r="X30" i="27" s="1"/>
  <c r="P26" i="22"/>
  <c r="V26" i="22"/>
  <c r="Y26" i="22" s="1"/>
  <c r="S27" i="22"/>
  <c r="AC27" i="22"/>
  <c r="N31" i="27"/>
  <c r="E29" i="22" s="1"/>
  <c r="O29" i="22" s="1"/>
  <c r="T27" i="22"/>
  <c r="AD27" i="22"/>
  <c r="F27" i="22"/>
  <c r="M27" i="22" s="1"/>
  <c r="P27" i="22" s="1"/>
  <c r="W27" i="22"/>
  <c r="AG27" i="22"/>
  <c r="AH28" i="22"/>
  <c r="X28" i="22"/>
  <c r="AI26" i="22"/>
  <c r="G28" i="22"/>
  <c r="N28" i="22" s="1"/>
  <c r="B28" i="22"/>
  <c r="J28" i="22" s="1"/>
  <c r="C28" i="22"/>
  <c r="K28" i="22" s="1"/>
  <c r="C29" i="22" l="1"/>
  <c r="K29" i="22" s="1"/>
  <c r="AG31" i="24"/>
  <c r="W31" i="27" s="1"/>
  <c r="AF31" i="24"/>
  <c r="V31" i="27" s="1"/>
  <c r="AD31" i="27"/>
  <c r="G29" i="22" s="1"/>
  <c r="D31" i="27"/>
  <c r="B29" i="22" s="1"/>
  <c r="AH31" i="24"/>
  <c r="X31" i="27" s="1"/>
  <c r="W28" i="22"/>
  <c r="AG28" i="22"/>
  <c r="AD28" i="22"/>
  <c r="T28" i="22"/>
  <c r="S28" i="22"/>
  <c r="AC28" i="22"/>
  <c r="V27" i="22"/>
  <c r="Y27" i="22" s="1"/>
  <c r="AF27" i="22"/>
  <c r="AI27" i="22" s="1"/>
  <c r="X29" i="22"/>
  <c r="X30" i="22" s="1"/>
  <c r="AH29" i="22"/>
  <c r="AH30" i="22" s="1"/>
  <c r="O30" i="22"/>
  <c r="F28" i="22"/>
  <c r="M28" i="22" s="1"/>
  <c r="C30" i="22" l="1"/>
  <c r="T29" i="22"/>
  <c r="T30" i="22" s="1"/>
  <c r="AD29" i="22"/>
  <c r="AD30" i="22" s="1"/>
  <c r="K30" i="22"/>
  <c r="V28" i="22"/>
  <c r="Y28" i="22" s="1"/>
  <c r="AF28" i="22"/>
  <c r="AI28" i="22" s="1"/>
  <c r="F29" i="22"/>
  <c r="N29" i="22"/>
  <c r="G30" i="22"/>
  <c r="J29" i="22"/>
  <c r="B30" i="22"/>
  <c r="P28" i="22"/>
  <c r="M29" i="22" l="1"/>
  <c r="P29" i="22" s="1"/>
  <c r="P30" i="22" s="1"/>
  <c r="D27" i="11" s="1"/>
  <c r="F30" i="22"/>
  <c r="AC29" i="22"/>
  <c r="S29" i="22"/>
  <c r="J30" i="22"/>
  <c r="AG29" i="22"/>
  <c r="AG30" i="22" s="1"/>
  <c r="W29" i="22"/>
  <c r="W30" i="22" s="1"/>
  <c r="N30" i="22"/>
  <c r="AC30" i="22" l="1"/>
  <c r="AC29" i="6" s="1"/>
  <c r="S30" i="22"/>
  <c r="V29" i="22"/>
  <c r="V30" i="22" s="1"/>
  <c r="AF29" i="22"/>
  <c r="AF30" i="22" s="1"/>
  <c r="M30" i="22"/>
  <c r="Y29" i="22" l="1"/>
  <c r="Y30" i="22" s="1"/>
  <c r="B27" i="11" s="1"/>
  <c r="AI29" i="22"/>
  <c r="AI30" i="22" l="1"/>
  <c r="AI29" i="6" s="1"/>
  <c r="E23" i="19"/>
  <c r="F23" i="19" s="1"/>
  <c r="E22" i="19"/>
  <c r="F22" i="19" s="1"/>
  <c r="C5" i="20"/>
  <c r="A31" i="20"/>
  <c r="A30" i="20"/>
  <c r="A29" i="20"/>
  <c r="A28" i="20"/>
  <c r="A27" i="20"/>
  <c r="A26" i="20"/>
  <c r="A25" i="20"/>
  <c r="A23" i="16" s="1"/>
  <c r="D23" i="16" s="1"/>
  <c r="G23" i="16" s="1"/>
  <c r="A24" i="20"/>
  <c r="A22" i="16" s="1"/>
  <c r="A23" i="20"/>
  <c r="A22" i="20"/>
  <c r="A21" i="20"/>
  <c r="A20" i="20"/>
  <c r="A19" i="20"/>
  <c r="A18" i="20"/>
  <c r="A17" i="20"/>
  <c r="A16" i="20"/>
  <c r="A14" i="16" s="1"/>
  <c r="D14" i="16" s="1"/>
  <c r="G14" i="16" s="1"/>
  <c r="A15" i="20"/>
  <c r="A14" i="20"/>
  <c r="A13" i="20"/>
  <c r="A12" i="20"/>
  <c r="A11" i="20"/>
  <c r="A10" i="20"/>
  <c r="A9" i="20"/>
  <c r="A7" i="16" s="1"/>
  <c r="D7" i="16" s="1"/>
  <c r="G7" i="16" s="1"/>
  <c r="A8" i="20"/>
  <c r="A6" i="16" s="1"/>
  <c r="A7" i="20"/>
  <c r="A6" i="20"/>
  <c r="A5" i="20"/>
  <c r="E17" i="19"/>
  <c r="D17" i="19"/>
  <c r="C5" i="18" s="1"/>
  <c r="C17" i="19"/>
  <c r="B5" i="18" s="1"/>
  <c r="E5" i="18" s="1"/>
  <c r="E5" i="20" s="1"/>
  <c r="F16" i="19"/>
  <c r="F17" i="19" s="1"/>
  <c r="D5" i="18"/>
  <c r="D5" i="20" s="1"/>
  <c r="D29" i="16"/>
  <c r="G29" i="16" s="1"/>
  <c r="K29" i="16" s="1"/>
  <c r="M29" i="16" s="1"/>
  <c r="A29" i="16"/>
  <c r="A28" i="16"/>
  <c r="D28" i="16" s="1"/>
  <c r="G28" i="16" s="1"/>
  <c r="I27" i="16"/>
  <c r="A27" i="16"/>
  <c r="D27" i="16" s="1"/>
  <c r="G27" i="16" s="1"/>
  <c r="K27" i="16" s="1"/>
  <c r="G26" i="16"/>
  <c r="K26" i="16" s="1"/>
  <c r="M26" i="16" s="1"/>
  <c r="A26" i="16"/>
  <c r="D26" i="16" s="1"/>
  <c r="G25" i="16"/>
  <c r="A25" i="16"/>
  <c r="D25" i="16" s="1"/>
  <c r="G24" i="16"/>
  <c r="A24" i="16"/>
  <c r="D24" i="16" s="1"/>
  <c r="K22" i="16"/>
  <c r="M22" i="16" s="1"/>
  <c r="D22" i="16"/>
  <c r="G22" i="16" s="1"/>
  <c r="I22" i="16" s="1"/>
  <c r="D21" i="16"/>
  <c r="G21" i="16" s="1"/>
  <c r="K21" i="16" s="1"/>
  <c r="M21" i="16" s="1"/>
  <c r="A21" i="16"/>
  <c r="K20" i="16"/>
  <c r="M20" i="16" s="1"/>
  <c r="I20" i="16"/>
  <c r="D20" i="16"/>
  <c r="G20" i="16" s="1"/>
  <c r="A20" i="16"/>
  <c r="A19" i="16"/>
  <c r="D19" i="16" s="1"/>
  <c r="G19" i="16" s="1"/>
  <c r="I18" i="16"/>
  <c r="D18" i="16"/>
  <c r="G18" i="16" s="1"/>
  <c r="K18" i="16" s="1"/>
  <c r="M18" i="16" s="1"/>
  <c r="A18" i="16"/>
  <c r="G17" i="16"/>
  <c r="I17" i="16" s="1"/>
  <c r="A17" i="16"/>
  <c r="D17" i="16" s="1"/>
  <c r="I16" i="16"/>
  <c r="D16" i="16"/>
  <c r="G16" i="16" s="1"/>
  <c r="K16" i="16" s="1"/>
  <c r="M16" i="16" s="1"/>
  <c r="A16" i="16"/>
  <c r="G15" i="16"/>
  <c r="I15" i="16" s="1"/>
  <c r="A15" i="16"/>
  <c r="D15" i="16" s="1"/>
  <c r="G13" i="16"/>
  <c r="I13" i="16" s="1"/>
  <c r="A13" i="16"/>
  <c r="D13" i="16" s="1"/>
  <c r="D12" i="16"/>
  <c r="G12" i="16" s="1"/>
  <c r="I12" i="16" s="1"/>
  <c r="A12" i="16"/>
  <c r="G11" i="16"/>
  <c r="I11" i="16" s="1"/>
  <c r="A11" i="16"/>
  <c r="D11" i="16" s="1"/>
  <c r="D10" i="16"/>
  <c r="G10" i="16" s="1"/>
  <c r="I10" i="16" s="1"/>
  <c r="A10" i="16"/>
  <c r="G9" i="16"/>
  <c r="I9" i="16" s="1"/>
  <c r="A9" i="16"/>
  <c r="D9" i="16" s="1"/>
  <c r="D8" i="16"/>
  <c r="G8" i="16" s="1"/>
  <c r="I8" i="16" s="1"/>
  <c r="A8" i="16"/>
  <c r="D6" i="16"/>
  <c r="G6" i="16" s="1"/>
  <c r="I6" i="16" s="1"/>
  <c r="K5" i="16"/>
  <c r="M5" i="16" s="1"/>
  <c r="G5" i="16"/>
  <c r="I5" i="16" s="1"/>
  <c r="A5" i="16"/>
  <c r="D5" i="16" s="1"/>
  <c r="I4" i="16"/>
  <c r="D4" i="16"/>
  <c r="G4" i="16" s="1"/>
  <c r="K4" i="16" s="1"/>
  <c r="M4" i="16" s="1"/>
  <c r="A4" i="16"/>
  <c r="K3" i="16"/>
  <c r="M3" i="16" s="1"/>
  <c r="G3" i="16"/>
  <c r="I3" i="16" s="1"/>
  <c r="A3" i="16"/>
  <c r="D3" i="16" s="1"/>
  <c r="M1" i="16"/>
  <c r="F24" i="19" l="1"/>
  <c r="B5" i="20"/>
  <c r="C27" i="11"/>
  <c r="I19" i="16"/>
  <c r="K19" i="16"/>
  <c r="M19" i="16" s="1"/>
  <c r="K28" i="16"/>
  <c r="M28" i="16" s="1"/>
  <c r="I28" i="16"/>
  <c r="K14" i="16"/>
  <c r="M14" i="16" s="1"/>
  <c r="I14" i="16"/>
  <c r="I7" i="16"/>
  <c r="K7" i="16"/>
  <c r="M7" i="16" s="1"/>
  <c r="K23" i="16"/>
  <c r="M23" i="16" s="1"/>
  <c r="I23" i="16"/>
  <c r="K6" i="16"/>
  <c r="M6" i="16" s="1"/>
  <c r="K8" i="16"/>
  <c r="M8" i="16" s="1"/>
  <c r="K10" i="16"/>
  <c r="M10" i="16" s="1"/>
  <c r="K12" i="16"/>
  <c r="M12" i="16" s="1"/>
  <c r="K25" i="16"/>
  <c r="M25" i="16" s="1"/>
  <c r="I25" i="16"/>
  <c r="F5" i="18"/>
  <c r="F5" i="20" s="1"/>
  <c r="I21" i="16"/>
  <c r="K24" i="16"/>
  <c r="M24" i="16" s="1"/>
  <c r="I24" i="16"/>
  <c r="I26" i="16"/>
  <c r="I29" i="16"/>
  <c r="G5" i="18"/>
  <c r="G5" i="20" s="1"/>
  <c r="K15" i="16"/>
  <c r="M15" i="16" s="1"/>
  <c r="K17" i="16"/>
  <c r="M17" i="16" s="1"/>
  <c r="M27" i="16"/>
  <c r="K9" i="16"/>
  <c r="M9" i="16" s="1"/>
  <c r="K11" i="16"/>
  <c r="M11" i="16" s="1"/>
  <c r="K13" i="16"/>
  <c r="M13" i="16" s="1"/>
  <c r="H36" i="9"/>
  <c r="H37" i="9"/>
  <c r="H38" i="9"/>
  <c r="H39" i="9"/>
  <c r="H40" i="9"/>
  <c r="H35" i="9"/>
  <c r="I5" i="12"/>
  <c r="B3" i="16" l="1"/>
  <c r="B32" i="18"/>
  <c r="B6" i="18" s="1"/>
  <c r="B6" i="20" s="1"/>
  <c r="C32" i="18"/>
  <c r="C6" i="18" s="1"/>
  <c r="C6" i="20" s="1"/>
  <c r="D32" i="18"/>
  <c r="D6" i="18" s="1"/>
  <c r="D6" i="20" s="1"/>
  <c r="E3" i="16"/>
  <c r="F6" i="18"/>
  <c r="F6" i="20" s="1"/>
  <c r="B7" i="18"/>
  <c r="E6" i="18"/>
  <c r="E6" i="20" s="1"/>
  <c r="W10" i="1"/>
  <c r="W7" i="1"/>
  <c r="Y29" i="1"/>
  <c r="AW29" i="1" s="1"/>
  <c r="X29" i="1"/>
  <c r="AV29" i="1" s="1"/>
  <c r="W29" i="1"/>
  <c r="Y28" i="1"/>
  <c r="X28" i="1"/>
  <c r="W28" i="1"/>
  <c r="Y27" i="1"/>
  <c r="X27" i="1"/>
  <c r="W27" i="1"/>
  <c r="Y26" i="1"/>
  <c r="AW26" i="1" s="1"/>
  <c r="X26" i="1"/>
  <c r="W26" i="1"/>
  <c r="Y25" i="1"/>
  <c r="X25" i="1"/>
  <c r="AV25" i="1" s="1"/>
  <c r="W25" i="1"/>
  <c r="Y24" i="1"/>
  <c r="X24" i="1"/>
  <c r="W24" i="1"/>
  <c r="Y23" i="1"/>
  <c r="X23" i="1"/>
  <c r="W23" i="1"/>
  <c r="Y22" i="1"/>
  <c r="AW22" i="1" s="1"/>
  <c r="X22" i="1"/>
  <c r="W22" i="1"/>
  <c r="Y21" i="1"/>
  <c r="X21" i="1"/>
  <c r="AV21" i="1" s="1"/>
  <c r="W21" i="1"/>
  <c r="Y20" i="1"/>
  <c r="X20" i="1"/>
  <c r="W20" i="1"/>
  <c r="AU20" i="1" s="1"/>
  <c r="Y19" i="1"/>
  <c r="X19" i="1"/>
  <c r="W19" i="1"/>
  <c r="Y18" i="1"/>
  <c r="AW18" i="1" s="1"/>
  <c r="X18" i="1"/>
  <c r="W18" i="1"/>
  <c r="Y17" i="1"/>
  <c r="AW17" i="1" s="1"/>
  <c r="X17" i="1"/>
  <c r="AV17" i="1" s="1"/>
  <c r="W17" i="1"/>
  <c r="Y16" i="1"/>
  <c r="X16" i="1"/>
  <c r="W16" i="1"/>
  <c r="AU16" i="1" s="1"/>
  <c r="Y15" i="1"/>
  <c r="X15" i="1"/>
  <c r="W15" i="1"/>
  <c r="AU15" i="1" s="1"/>
  <c r="Y14" i="1"/>
  <c r="AW14" i="1" s="1"/>
  <c r="X14" i="1"/>
  <c r="W14" i="1"/>
  <c r="Y13" i="1"/>
  <c r="X13" i="1"/>
  <c r="AV13" i="1" s="1"/>
  <c r="W13" i="1"/>
  <c r="Y12" i="1"/>
  <c r="X12" i="1"/>
  <c r="W12" i="1"/>
  <c r="AU12" i="1" s="1"/>
  <c r="Y11" i="1"/>
  <c r="X11" i="1"/>
  <c r="W11" i="1"/>
  <c r="Y10" i="1"/>
  <c r="AW10" i="1" s="1"/>
  <c r="X10" i="1"/>
  <c r="X8" i="1"/>
  <c r="AV8" i="1" s="1"/>
  <c r="Y6" i="1"/>
  <c r="AW6" i="1" s="1"/>
  <c r="Y5" i="1"/>
  <c r="X5" i="1"/>
  <c r="AV5" i="1" s="1"/>
  <c r="AU5" i="1"/>
  <c r="V29" i="1"/>
  <c r="U29" i="1"/>
  <c r="V28" i="1"/>
  <c r="U28" i="1"/>
  <c r="V27" i="1"/>
  <c r="U27" i="1"/>
  <c r="V26" i="1"/>
  <c r="U26" i="1"/>
  <c r="V25" i="1"/>
  <c r="U25" i="1"/>
  <c r="V24" i="1"/>
  <c r="U24" i="1"/>
  <c r="V23" i="1"/>
  <c r="AW23" i="1" s="1"/>
  <c r="U23" i="1"/>
  <c r="V22" i="1"/>
  <c r="U22" i="1"/>
  <c r="V21" i="1"/>
  <c r="U21" i="1"/>
  <c r="T21" i="1"/>
  <c r="V20" i="1"/>
  <c r="U20" i="1"/>
  <c r="T20" i="1"/>
  <c r="V19" i="1"/>
  <c r="U19" i="1"/>
  <c r="T19" i="1"/>
  <c r="V18" i="1"/>
  <c r="U18" i="1"/>
  <c r="AV18" i="1" s="1"/>
  <c r="T18" i="1"/>
  <c r="V17" i="1"/>
  <c r="U17" i="1"/>
  <c r="T17" i="1"/>
  <c r="V16" i="1"/>
  <c r="U16" i="1"/>
  <c r="T16" i="1"/>
  <c r="V15" i="1"/>
  <c r="U15" i="1"/>
  <c r="T15" i="1"/>
  <c r="V14" i="1"/>
  <c r="U14" i="1"/>
  <c r="AV14" i="1" s="1"/>
  <c r="T14" i="1"/>
  <c r="V13" i="1"/>
  <c r="U13" i="1"/>
  <c r="T13" i="1"/>
  <c r="V12" i="1"/>
  <c r="U12" i="1"/>
  <c r="T12" i="1"/>
  <c r="V11" i="1"/>
  <c r="U11" i="1"/>
  <c r="T11" i="1"/>
  <c r="V10" i="1"/>
  <c r="U10" i="1"/>
  <c r="T10" i="1"/>
  <c r="V9" i="1"/>
  <c r="Y9" i="1" s="1"/>
  <c r="U9" i="1"/>
  <c r="X9" i="1" s="1"/>
  <c r="T9" i="1"/>
  <c r="W9" i="1" s="1"/>
  <c r="AU9" i="1" s="1"/>
  <c r="V8" i="1"/>
  <c r="Y8" i="1" s="1"/>
  <c r="U8" i="1"/>
  <c r="T8" i="1"/>
  <c r="W8" i="1" s="1"/>
  <c r="AU8" i="1" s="1"/>
  <c r="V7" i="1"/>
  <c r="Y7" i="1" s="1"/>
  <c r="AW7" i="1" s="1"/>
  <c r="U7" i="1"/>
  <c r="X7" i="1" s="1"/>
  <c r="T7" i="1"/>
  <c r="V6" i="1"/>
  <c r="U6" i="1"/>
  <c r="X6" i="1" s="1"/>
  <c r="AV6" i="1" s="1"/>
  <c r="T6" i="1"/>
  <c r="W6" i="1" s="1"/>
  <c r="V5" i="1"/>
  <c r="U5" i="1"/>
  <c r="T5" i="1"/>
  <c r="W5" i="1" s="1"/>
  <c r="Q10" i="1"/>
  <c r="AR10" i="1" s="1"/>
  <c r="S29" i="1"/>
  <c r="R29" i="1"/>
  <c r="Q29" i="1"/>
  <c r="S28" i="1"/>
  <c r="AT28" i="1" s="1"/>
  <c r="R28" i="1"/>
  <c r="Q28" i="1"/>
  <c r="S27" i="1"/>
  <c r="R27" i="1"/>
  <c r="AS27" i="1" s="1"/>
  <c r="Q27" i="1"/>
  <c r="S26" i="1"/>
  <c r="R26" i="1"/>
  <c r="Q26" i="1"/>
  <c r="AR26" i="1" s="1"/>
  <c r="S25" i="1"/>
  <c r="R25" i="1"/>
  <c r="Q25" i="1"/>
  <c r="S24" i="1"/>
  <c r="AT24" i="1" s="1"/>
  <c r="R24" i="1"/>
  <c r="Q24" i="1"/>
  <c r="S23" i="1"/>
  <c r="R23" i="1"/>
  <c r="AS23" i="1" s="1"/>
  <c r="Q23" i="1"/>
  <c r="S22" i="1"/>
  <c r="R22" i="1"/>
  <c r="Q22" i="1"/>
  <c r="AR22" i="1" s="1"/>
  <c r="S21" i="1"/>
  <c r="R21" i="1"/>
  <c r="Q21" i="1"/>
  <c r="S20" i="1"/>
  <c r="AT20" i="1" s="1"/>
  <c r="R20" i="1"/>
  <c r="Q20" i="1"/>
  <c r="S19" i="1"/>
  <c r="R19" i="1"/>
  <c r="AS19" i="1" s="1"/>
  <c r="Q19" i="1"/>
  <c r="S18" i="1"/>
  <c r="R18" i="1"/>
  <c r="Q18" i="1"/>
  <c r="AR18" i="1" s="1"/>
  <c r="S17" i="1"/>
  <c r="R17" i="1"/>
  <c r="Q17" i="1"/>
  <c r="S16" i="1"/>
  <c r="AT16" i="1" s="1"/>
  <c r="R16" i="1"/>
  <c r="Q16" i="1"/>
  <c r="S15" i="1"/>
  <c r="R15" i="1"/>
  <c r="AS15" i="1" s="1"/>
  <c r="Q15" i="1"/>
  <c r="S14" i="1"/>
  <c r="R14" i="1"/>
  <c r="Q14" i="1"/>
  <c r="AR14" i="1" s="1"/>
  <c r="S13" i="1"/>
  <c r="R13" i="1"/>
  <c r="Q13" i="1"/>
  <c r="S12" i="1"/>
  <c r="AT12" i="1" s="1"/>
  <c r="R12" i="1"/>
  <c r="Q12" i="1"/>
  <c r="S11" i="1"/>
  <c r="R11" i="1"/>
  <c r="AS11" i="1" s="1"/>
  <c r="Q11" i="1"/>
  <c r="S10" i="1"/>
  <c r="R10" i="1"/>
  <c r="S7" i="1"/>
  <c r="R7" i="1"/>
  <c r="AS7" i="1" s="1"/>
  <c r="R6" i="1"/>
  <c r="Q6" i="1"/>
  <c r="AR6" i="1" s="1"/>
  <c r="S5" i="1"/>
  <c r="Q5" i="1"/>
  <c r="P29" i="1"/>
  <c r="O29" i="1"/>
  <c r="AS29" i="1" s="1"/>
  <c r="N29" i="1"/>
  <c r="P28" i="1"/>
  <c r="O28" i="1"/>
  <c r="N28" i="1"/>
  <c r="P27" i="1"/>
  <c r="O27" i="1"/>
  <c r="N27" i="1"/>
  <c r="P26" i="1"/>
  <c r="O26" i="1"/>
  <c r="N26" i="1"/>
  <c r="P25" i="1"/>
  <c r="O25" i="1"/>
  <c r="BH25" i="1" s="1"/>
  <c r="N25" i="1"/>
  <c r="P24" i="1"/>
  <c r="O24" i="1"/>
  <c r="N24" i="1"/>
  <c r="AR24" i="1" s="1"/>
  <c r="P23" i="1"/>
  <c r="O23" i="1"/>
  <c r="N23" i="1"/>
  <c r="P22" i="1"/>
  <c r="O22" i="1"/>
  <c r="N22" i="1"/>
  <c r="P21" i="1"/>
  <c r="O21" i="1"/>
  <c r="N21" i="1"/>
  <c r="P20" i="1"/>
  <c r="O20" i="1"/>
  <c r="N20" i="1"/>
  <c r="P19" i="1"/>
  <c r="O19" i="1"/>
  <c r="N19" i="1"/>
  <c r="P18" i="1"/>
  <c r="AT18" i="1" s="1"/>
  <c r="O18" i="1"/>
  <c r="N18" i="1"/>
  <c r="P17" i="1"/>
  <c r="O17" i="1"/>
  <c r="AS17" i="1" s="1"/>
  <c r="N17" i="1"/>
  <c r="P16" i="1"/>
  <c r="O16" i="1"/>
  <c r="N16" i="1"/>
  <c r="P15" i="1"/>
  <c r="O15" i="1"/>
  <c r="N15" i="1"/>
  <c r="P14" i="1"/>
  <c r="O14" i="1"/>
  <c r="N14" i="1"/>
  <c r="P13" i="1"/>
  <c r="O13" i="1"/>
  <c r="AS13" i="1" s="1"/>
  <c r="N13" i="1"/>
  <c r="P12" i="1"/>
  <c r="O12" i="1"/>
  <c r="N12" i="1"/>
  <c r="P11" i="1"/>
  <c r="O11" i="1"/>
  <c r="N11" i="1"/>
  <c r="P10" i="1"/>
  <c r="AT10" i="1" s="1"/>
  <c r="O10" i="1"/>
  <c r="N10" i="1"/>
  <c r="P9" i="1"/>
  <c r="O9" i="1"/>
  <c r="R9" i="1" s="1"/>
  <c r="AS9" i="1" s="1"/>
  <c r="N9" i="1"/>
  <c r="Q9" i="1" s="1"/>
  <c r="P8" i="1"/>
  <c r="S8" i="1" s="1"/>
  <c r="AT8" i="1" s="1"/>
  <c r="O8" i="1"/>
  <c r="N8" i="1"/>
  <c r="Q8" i="1" s="1"/>
  <c r="AR8" i="1" s="1"/>
  <c r="P7" i="1"/>
  <c r="O7" i="1"/>
  <c r="N7" i="1"/>
  <c r="P6" i="1"/>
  <c r="S6" i="1" s="1"/>
  <c r="O6" i="1"/>
  <c r="N6" i="1"/>
  <c r="P5" i="1"/>
  <c r="O5" i="1"/>
  <c r="R5" i="1" s="1"/>
  <c r="N5" i="1"/>
  <c r="M29" i="1"/>
  <c r="L29" i="1"/>
  <c r="K29" i="1"/>
  <c r="M28" i="1"/>
  <c r="L28" i="1"/>
  <c r="K28" i="1"/>
  <c r="M27" i="1"/>
  <c r="BL27" i="1" s="1"/>
  <c r="L27" i="1"/>
  <c r="K27" i="1"/>
  <c r="M26" i="1"/>
  <c r="BL26" i="1" s="1"/>
  <c r="L26" i="1"/>
  <c r="K26" i="1"/>
  <c r="M25" i="1"/>
  <c r="L25" i="1"/>
  <c r="BB25" i="1" s="1"/>
  <c r="K25" i="1"/>
  <c r="M24" i="1"/>
  <c r="L24" i="1"/>
  <c r="K24" i="1"/>
  <c r="BJ24" i="1" s="1"/>
  <c r="M23" i="1"/>
  <c r="L23" i="1"/>
  <c r="K23" i="1"/>
  <c r="M22" i="1"/>
  <c r="BL22" i="1" s="1"/>
  <c r="L22" i="1"/>
  <c r="K22" i="1"/>
  <c r="M21" i="1"/>
  <c r="L21" i="1"/>
  <c r="K21" i="1"/>
  <c r="M20" i="1"/>
  <c r="L20" i="1"/>
  <c r="K20" i="1"/>
  <c r="BJ20" i="1" s="1"/>
  <c r="M19" i="1"/>
  <c r="BL19" i="1" s="1"/>
  <c r="L19" i="1"/>
  <c r="K19" i="1"/>
  <c r="M18" i="1"/>
  <c r="L18" i="1"/>
  <c r="K18" i="1"/>
  <c r="M17" i="1"/>
  <c r="L17" i="1"/>
  <c r="K17" i="1"/>
  <c r="BJ17" i="1" s="1"/>
  <c r="M16" i="1"/>
  <c r="L16" i="1"/>
  <c r="K16" i="1"/>
  <c r="BJ16" i="1" s="1"/>
  <c r="M15" i="1"/>
  <c r="L15" i="1"/>
  <c r="K15" i="1"/>
  <c r="M14" i="1"/>
  <c r="L14" i="1"/>
  <c r="BK14" i="1" s="1"/>
  <c r="K14" i="1"/>
  <c r="M13" i="1"/>
  <c r="L13" i="1"/>
  <c r="BK13" i="1" s="1"/>
  <c r="K13" i="1"/>
  <c r="M12" i="1"/>
  <c r="L12" i="1"/>
  <c r="K12" i="1"/>
  <c r="BJ12" i="1" s="1"/>
  <c r="M11" i="1"/>
  <c r="L11" i="1"/>
  <c r="K11" i="1"/>
  <c r="M10" i="1"/>
  <c r="L10" i="1"/>
  <c r="K10" i="1"/>
  <c r="M9" i="1"/>
  <c r="L9" i="1"/>
  <c r="L8" i="1"/>
  <c r="K8" i="1"/>
  <c r="BJ8" i="1" s="1"/>
  <c r="K7" i="1"/>
  <c r="M6" i="1"/>
  <c r="BL6" i="1" s="1"/>
  <c r="L6" i="1"/>
  <c r="BK6" i="1" s="1"/>
  <c r="M5" i="1"/>
  <c r="L5" i="1"/>
  <c r="BK5" i="1" s="1"/>
  <c r="K5" i="1"/>
  <c r="BJ5" i="1" s="1"/>
  <c r="J29" i="1"/>
  <c r="I29" i="1"/>
  <c r="H29" i="1"/>
  <c r="J28" i="1"/>
  <c r="I28" i="1"/>
  <c r="H28" i="1"/>
  <c r="J27" i="1"/>
  <c r="I27" i="1"/>
  <c r="H27" i="1"/>
  <c r="J26" i="1"/>
  <c r="I26" i="1"/>
  <c r="H26" i="1"/>
  <c r="J25" i="1"/>
  <c r="I25" i="1"/>
  <c r="H25" i="1"/>
  <c r="J24" i="1"/>
  <c r="I24" i="1"/>
  <c r="H24" i="1"/>
  <c r="J23" i="1"/>
  <c r="I23" i="1"/>
  <c r="H23" i="1"/>
  <c r="J22" i="1"/>
  <c r="I22" i="1"/>
  <c r="H22" i="1"/>
  <c r="J21" i="1"/>
  <c r="I21" i="1"/>
  <c r="H21" i="1"/>
  <c r="J20" i="1"/>
  <c r="I20" i="1"/>
  <c r="H20" i="1"/>
  <c r="J19" i="1"/>
  <c r="I19" i="1"/>
  <c r="H19" i="1"/>
  <c r="J18" i="1"/>
  <c r="I18" i="1"/>
  <c r="H18" i="1"/>
  <c r="J17" i="1"/>
  <c r="I17" i="1"/>
  <c r="H17" i="1"/>
  <c r="J16" i="1"/>
  <c r="I16" i="1"/>
  <c r="H16" i="1"/>
  <c r="J15" i="1"/>
  <c r="I15" i="1"/>
  <c r="H15" i="1"/>
  <c r="J14" i="1"/>
  <c r="I14" i="1"/>
  <c r="H14" i="1"/>
  <c r="J13" i="1"/>
  <c r="I13" i="1"/>
  <c r="H13" i="1"/>
  <c r="J12" i="1"/>
  <c r="I12" i="1"/>
  <c r="H12" i="1"/>
  <c r="J11" i="1"/>
  <c r="I11" i="1"/>
  <c r="H11" i="1"/>
  <c r="J10" i="1"/>
  <c r="I10" i="1"/>
  <c r="H10" i="1"/>
  <c r="J9" i="1"/>
  <c r="I9" i="1"/>
  <c r="H9" i="1"/>
  <c r="K9" i="1" s="1"/>
  <c r="BJ9" i="1" s="1"/>
  <c r="J8" i="1"/>
  <c r="M8" i="1" s="1"/>
  <c r="I8" i="1"/>
  <c r="H8" i="1"/>
  <c r="J7" i="1"/>
  <c r="M7" i="1" s="1"/>
  <c r="I7" i="1"/>
  <c r="L7" i="1" s="1"/>
  <c r="H7" i="1"/>
  <c r="J6" i="1"/>
  <c r="I6" i="1"/>
  <c r="H6" i="1"/>
  <c r="K6" i="1" s="1"/>
  <c r="J5" i="1"/>
  <c r="I5" i="1"/>
  <c r="AY5" i="1" s="1"/>
  <c r="H5" i="1"/>
  <c r="BG5" i="1" s="1"/>
  <c r="BI25" i="1"/>
  <c r="E11" i="1"/>
  <c r="F11" i="1"/>
  <c r="G11" i="1"/>
  <c r="E12" i="1"/>
  <c r="F12" i="1"/>
  <c r="G12" i="1"/>
  <c r="E13" i="1"/>
  <c r="F13" i="1"/>
  <c r="G13" i="1"/>
  <c r="E14" i="1"/>
  <c r="F14" i="1"/>
  <c r="G14" i="1"/>
  <c r="E15" i="1"/>
  <c r="F15" i="1"/>
  <c r="G15" i="1"/>
  <c r="E16" i="1"/>
  <c r="F16" i="1"/>
  <c r="G16" i="1"/>
  <c r="E17" i="1"/>
  <c r="F17" i="1"/>
  <c r="G17" i="1"/>
  <c r="E18" i="1"/>
  <c r="F18" i="1"/>
  <c r="G18" i="1"/>
  <c r="E19" i="1"/>
  <c r="F19" i="1"/>
  <c r="G19" i="1"/>
  <c r="E20" i="1"/>
  <c r="F20" i="1"/>
  <c r="G20" i="1"/>
  <c r="E21" i="1"/>
  <c r="F21" i="1"/>
  <c r="G21" i="1"/>
  <c r="E22" i="1"/>
  <c r="F22" i="1"/>
  <c r="G22" i="1"/>
  <c r="E23" i="1"/>
  <c r="F23" i="1"/>
  <c r="G23" i="1"/>
  <c r="E24" i="1"/>
  <c r="F24" i="1"/>
  <c r="G24" i="1"/>
  <c r="E25" i="1"/>
  <c r="AL25" i="1" s="1"/>
  <c r="F25" i="1"/>
  <c r="G25" i="1"/>
  <c r="E26" i="1"/>
  <c r="F26" i="1"/>
  <c r="G26" i="1"/>
  <c r="E27" i="1"/>
  <c r="F27" i="1"/>
  <c r="G27" i="1"/>
  <c r="E28" i="1"/>
  <c r="F28" i="1"/>
  <c r="G28" i="1"/>
  <c r="E29" i="1"/>
  <c r="F29" i="1"/>
  <c r="G29" i="1"/>
  <c r="F10" i="1"/>
  <c r="G10" i="1"/>
  <c r="E10" i="1"/>
  <c r="E6" i="1"/>
  <c r="F6" i="1"/>
  <c r="F7" i="1"/>
  <c r="G7" i="1"/>
  <c r="G8" i="1"/>
  <c r="E9" i="1"/>
  <c r="F9" i="1"/>
  <c r="F5" i="1"/>
  <c r="G5" i="1"/>
  <c r="B6" i="1"/>
  <c r="C6" i="1"/>
  <c r="D6" i="1"/>
  <c r="G6" i="1" s="1"/>
  <c r="B7" i="1"/>
  <c r="E7" i="1" s="1"/>
  <c r="C7" i="1"/>
  <c r="D7" i="1"/>
  <c r="B8" i="1"/>
  <c r="E8" i="1" s="1"/>
  <c r="C8" i="1"/>
  <c r="F8" i="1" s="1"/>
  <c r="D8" i="1"/>
  <c r="B9" i="1"/>
  <c r="C9" i="1"/>
  <c r="D9" i="1"/>
  <c r="G9" i="1" s="1"/>
  <c r="B10" i="1"/>
  <c r="C10" i="1"/>
  <c r="D10" i="1"/>
  <c r="B11" i="1"/>
  <c r="C11" i="1"/>
  <c r="D11" i="1"/>
  <c r="B12" i="1"/>
  <c r="C12" i="1"/>
  <c r="D12" i="1"/>
  <c r="B13" i="1"/>
  <c r="C13" i="1"/>
  <c r="D13" i="1"/>
  <c r="B14" i="1"/>
  <c r="C14" i="1"/>
  <c r="D14" i="1"/>
  <c r="B15" i="1"/>
  <c r="C15" i="1"/>
  <c r="D15" i="1"/>
  <c r="B16" i="1"/>
  <c r="C16" i="1"/>
  <c r="D16" i="1"/>
  <c r="B17" i="1"/>
  <c r="C17" i="1"/>
  <c r="D17" i="1"/>
  <c r="B18" i="1"/>
  <c r="C18" i="1"/>
  <c r="D18" i="1"/>
  <c r="B19" i="1"/>
  <c r="C19" i="1"/>
  <c r="D19" i="1"/>
  <c r="B20" i="1"/>
  <c r="C20" i="1"/>
  <c r="D20" i="1"/>
  <c r="B21" i="1"/>
  <c r="C21" i="1"/>
  <c r="D21" i="1"/>
  <c r="B22" i="1"/>
  <c r="C22" i="1"/>
  <c r="D22" i="1"/>
  <c r="B23" i="1"/>
  <c r="C23" i="1"/>
  <c r="D23" i="1"/>
  <c r="B24" i="1"/>
  <c r="C24" i="1"/>
  <c r="D24" i="1"/>
  <c r="B25" i="1"/>
  <c r="C25" i="1"/>
  <c r="D25" i="1"/>
  <c r="AZ25" i="1" s="1"/>
  <c r="B26" i="1"/>
  <c r="C26" i="1"/>
  <c r="D26" i="1"/>
  <c r="B27" i="1"/>
  <c r="C27" i="1"/>
  <c r="D27" i="1"/>
  <c r="B28" i="1"/>
  <c r="C28" i="1"/>
  <c r="D28" i="1"/>
  <c r="B29" i="1"/>
  <c r="C29" i="1"/>
  <c r="D29" i="1"/>
  <c r="C5" i="1"/>
  <c r="D5" i="1"/>
  <c r="B5" i="1"/>
  <c r="S30" i="15"/>
  <c r="R30" i="15"/>
  <c r="Q30" i="15"/>
  <c r="P30" i="15"/>
  <c r="O30" i="15"/>
  <c r="N30" i="15"/>
  <c r="M30" i="15"/>
  <c r="L30" i="15"/>
  <c r="K30" i="15"/>
  <c r="J30" i="15"/>
  <c r="I30" i="15"/>
  <c r="H30" i="15"/>
  <c r="G30" i="15"/>
  <c r="F30" i="15"/>
  <c r="E30" i="15"/>
  <c r="D30" i="15"/>
  <c r="D28" i="15" s="1"/>
  <c r="C30" i="15"/>
  <c r="B30" i="15"/>
  <c r="P29" i="15"/>
  <c r="F29" i="15"/>
  <c r="AM29" i="15" s="1"/>
  <c r="D29" i="15"/>
  <c r="C29" i="15"/>
  <c r="B29" i="15"/>
  <c r="R28" i="15"/>
  <c r="R29" i="15" s="1"/>
  <c r="J28" i="15"/>
  <c r="F28" i="15"/>
  <c r="E28" i="15"/>
  <c r="AL28" i="15" s="1"/>
  <c r="B28" i="15"/>
  <c r="BI27" i="15"/>
  <c r="R27" i="15"/>
  <c r="AD27" i="15" s="1"/>
  <c r="N27" i="15"/>
  <c r="N28" i="15" s="1"/>
  <c r="N29" i="15" s="1"/>
  <c r="L27" i="15"/>
  <c r="J27" i="15"/>
  <c r="F27" i="15"/>
  <c r="E27" i="15"/>
  <c r="AL27" i="15" s="1"/>
  <c r="D27" i="15"/>
  <c r="B27" i="15"/>
  <c r="BG26" i="15"/>
  <c r="BB26" i="15"/>
  <c r="AX26" i="15"/>
  <c r="AT26" i="15"/>
  <c r="AL26" i="15"/>
  <c r="AD26" i="15"/>
  <c r="S26" i="15"/>
  <c r="R26" i="15"/>
  <c r="Q26" i="15"/>
  <c r="P26" i="15"/>
  <c r="P27" i="15" s="1"/>
  <c r="P28" i="15" s="1"/>
  <c r="O26" i="15"/>
  <c r="O27" i="15" s="1"/>
  <c r="N26" i="15"/>
  <c r="M26" i="15"/>
  <c r="L26" i="15"/>
  <c r="K26" i="15"/>
  <c r="J26" i="15"/>
  <c r="I26" i="15"/>
  <c r="H26" i="15"/>
  <c r="G26" i="15"/>
  <c r="AN26" i="15" s="1"/>
  <c r="F26" i="15"/>
  <c r="E26" i="15"/>
  <c r="D26" i="15"/>
  <c r="AZ26" i="15" s="1"/>
  <c r="C26" i="15"/>
  <c r="AM26" i="15" s="1"/>
  <c r="B26" i="15"/>
  <c r="BO25" i="15"/>
  <c r="BL25" i="15"/>
  <c r="BK25" i="15"/>
  <c r="BN25" i="15" s="1"/>
  <c r="BJ25" i="15"/>
  <c r="BI25" i="15"/>
  <c r="BH25" i="15"/>
  <c r="BG25" i="15"/>
  <c r="BM25" i="15" s="1"/>
  <c r="BF25" i="15"/>
  <c r="BC25" i="15"/>
  <c r="BB25" i="15"/>
  <c r="BE25" i="15" s="1"/>
  <c r="BA25" i="15"/>
  <c r="AZ25" i="15"/>
  <c r="AY25" i="15"/>
  <c r="AX25" i="15"/>
  <c r="AT25" i="15"/>
  <c r="AS25" i="15"/>
  <c r="AR25" i="15"/>
  <c r="AQ25" i="15"/>
  <c r="AP25" i="15"/>
  <c r="AO25" i="15"/>
  <c r="AN25" i="15"/>
  <c r="AM25" i="15"/>
  <c r="AL25" i="15"/>
  <c r="AK25" i="15"/>
  <c r="AJ25" i="15"/>
  <c r="AI25" i="15"/>
  <c r="AH25" i="15"/>
  <c r="AG25" i="15"/>
  <c r="AF25" i="15"/>
  <c r="AE25" i="15"/>
  <c r="AD25" i="15"/>
  <c r="AC25" i="15"/>
  <c r="G24" i="15"/>
  <c r="AN24" i="15" s="1"/>
  <c r="F24" i="15"/>
  <c r="E24" i="15"/>
  <c r="AL24" i="15" s="1"/>
  <c r="D24" i="15"/>
  <c r="C24" i="15"/>
  <c r="AM24" i="15" s="1"/>
  <c r="B24" i="15"/>
  <c r="AW23" i="15"/>
  <c r="T23" i="15"/>
  <c r="AU23" i="15" s="1"/>
  <c r="G23" i="15"/>
  <c r="F23" i="15"/>
  <c r="D23" i="15"/>
  <c r="B23" i="15"/>
  <c r="AW22" i="15"/>
  <c r="AN22" i="15"/>
  <c r="V22" i="15"/>
  <c r="V23" i="15" s="1"/>
  <c r="U22" i="15"/>
  <c r="T22" i="15"/>
  <c r="AU22" i="15" s="1"/>
  <c r="G22" i="15"/>
  <c r="F22" i="15"/>
  <c r="AM22" i="15" s="1"/>
  <c r="E22" i="15"/>
  <c r="D22" i="15"/>
  <c r="C22" i="15"/>
  <c r="B22" i="15"/>
  <c r="AL22" i="15" s="1"/>
  <c r="AW21" i="15"/>
  <c r="AV21" i="15"/>
  <c r="AU21" i="15"/>
  <c r="G21" i="15"/>
  <c r="AN21" i="15" s="1"/>
  <c r="F21" i="15"/>
  <c r="AM21" i="15" s="1"/>
  <c r="E21" i="15"/>
  <c r="D21" i="15"/>
  <c r="C21" i="15"/>
  <c r="B21" i="15"/>
  <c r="AL21" i="15" s="1"/>
  <c r="AN20" i="15"/>
  <c r="AL20" i="15"/>
  <c r="G20" i="15"/>
  <c r="F20" i="15"/>
  <c r="AM20" i="15" s="1"/>
  <c r="E20" i="15"/>
  <c r="D20" i="15"/>
  <c r="C20" i="15"/>
  <c r="B20" i="15"/>
  <c r="F19" i="15"/>
  <c r="E19" i="15"/>
  <c r="AL19" i="15" s="1"/>
  <c r="D19" i="15"/>
  <c r="B19" i="15"/>
  <c r="AM18" i="15"/>
  <c r="G18" i="15"/>
  <c r="F18" i="15"/>
  <c r="E18" i="15"/>
  <c r="AL18" i="15" s="1"/>
  <c r="D18" i="15"/>
  <c r="AN18" i="15" s="1"/>
  <c r="C18" i="15"/>
  <c r="B18" i="15"/>
  <c r="G17" i="15"/>
  <c r="AN17" i="15" s="1"/>
  <c r="F17" i="15"/>
  <c r="E17" i="15"/>
  <c r="D17" i="15"/>
  <c r="C17" i="15"/>
  <c r="AM17" i="15" s="1"/>
  <c r="B17" i="15"/>
  <c r="AL17" i="15" s="1"/>
  <c r="G16" i="15"/>
  <c r="AN16" i="15" s="1"/>
  <c r="F16" i="15"/>
  <c r="AM16" i="15" s="1"/>
  <c r="E16" i="15"/>
  <c r="AL16" i="15" s="1"/>
  <c r="D16" i="15"/>
  <c r="C16" i="15"/>
  <c r="B16" i="15"/>
  <c r="F15" i="15"/>
  <c r="E15" i="15"/>
  <c r="AL15" i="15" s="1"/>
  <c r="D15" i="15"/>
  <c r="B15" i="15"/>
  <c r="AL14" i="15"/>
  <c r="G14" i="15"/>
  <c r="AN14" i="15" s="1"/>
  <c r="F14" i="15"/>
  <c r="E14" i="15"/>
  <c r="D14" i="15"/>
  <c r="C14" i="15"/>
  <c r="B14" i="15"/>
  <c r="AM13" i="15"/>
  <c r="G13" i="15"/>
  <c r="F13" i="15"/>
  <c r="E13" i="15"/>
  <c r="AL13" i="15" s="1"/>
  <c r="D13" i="15"/>
  <c r="AN13" i="15" s="1"/>
  <c r="C13" i="15"/>
  <c r="B13" i="15"/>
  <c r="AN12" i="15"/>
  <c r="AM12" i="15"/>
  <c r="G12" i="15"/>
  <c r="F12" i="15"/>
  <c r="E12" i="15"/>
  <c r="AL12" i="15" s="1"/>
  <c r="D12" i="15"/>
  <c r="C12" i="15"/>
  <c r="B12" i="15"/>
  <c r="G11" i="15"/>
  <c r="AN11" i="15" s="1"/>
  <c r="F11" i="15"/>
  <c r="AM11" i="15" s="1"/>
  <c r="E11" i="15"/>
  <c r="D11" i="15"/>
  <c r="C11" i="15"/>
  <c r="B11" i="15"/>
  <c r="AL11" i="15" s="1"/>
  <c r="G10" i="15"/>
  <c r="AN10" i="15" s="1"/>
  <c r="F10" i="15"/>
  <c r="AM10" i="15" s="1"/>
  <c r="E10" i="15"/>
  <c r="D10" i="15"/>
  <c r="C10" i="15"/>
  <c r="B10" i="15"/>
  <c r="AL10" i="15" s="1"/>
  <c r="AM9" i="15"/>
  <c r="G9" i="15"/>
  <c r="F9" i="15"/>
  <c r="E9" i="15"/>
  <c r="AL9" i="15" s="1"/>
  <c r="D9" i="15"/>
  <c r="AN9" i="15" s="1"/>
  <c r="C9" i="15"/>
  <c r="B9" i="15"/>
  <c r="AM8" i="15"/>
  <c r="AL8" i="15"/>
  <c r="H8" i="15"/>
  <c r="G8" i="15"/>
  <c r="F8" i="15"/>
  <c r="E8" i="15"/>
  <c r="D8" i="15"/>
  <c r="AN8" i="15" s="1"/>
  <c r="C8" i="15"/>
  <c r="B8" i="15"/>
  <c r="AX7" i="15"/>
  <c r="AM7" i="15"/>
  <c r="T7" i="15"/>
  <c r="AU7" i="15" s="1"/>
  <c r="P7" i="15"/>
  <c r="P8" i="15" s="1"/>
  <c r="P9" i="15" s="1"/>
  <c r="P10" i="15" s="1"/>
  <c r="P11" i="15" s="1"/>
  <c r="P12" i="15" s="1"/>
  <c r="P13" i="15" s="1"/>
  <c r="P14" i="15" s="1"/>
  <c r="P15" i="15" s="1"/>
  <c r="P16" i="15" s="1"/>
  <c r="P17" i="15" s="1"/>
  <c r="P18" i="15" s="1"/>
  <c r="P19" i="15" s="1"/>
  <c r="P20" i="15" s="1"/>
  <c r="P21" i="15" s="1"/>
  <c r="O7" i="15"/>
  <c r="O8" i="15" s="1"/>
  <c r="O9" i="15" s="1"/>
  <c r="O10" i="15" s="1"/>
  <c r="O11" i="15" s="1"/>
  <c r="O12" i="15" s="1"/>
  <c r="O13" i="15" s="1"/>
  <c r="O14" i="15" s="1"/>
  <c r="O15" i="15" s="1"/>
  <c r="O16" i="15" s="1"/>
  <c r="O17" i="15" s="1"/>
  <c r="O18" i="15" s="1"/>
  <c r="O19" i="15" s="1"/>
  <c r="O20" i="15" s="1"/>
  <c r="O21" i="15" s="1"/>
  <c r="L7" i="15"/>
  <c r="L8" i="15" s="1"/>
  <c r="K7" i="15"/>
  <c r="J7" i="15"/>
  <c r="H7" i="15"/>
  <c r="G7" i="15"/>
  <c r="AN7" i="15" s="1"/>
  <c r="F7" i="15"/>
  <c r="E7" i="15"/>
  <c r="D7" i="15"/>
  <c r="C7" i="15"/>
  <c r="B7" i="15"/>
  <c r="AL7" i="15" s="1"/>
  <c r="BI6" i="15"/>
  <c r="AX6" i="15"/>
  <c r="AT6" i="15"/>
  <c r="AS6" i="15"/>
  <c r="AO6" i="15"/>
  <c r="AN6" i="15"/>
  <c r="V6" i="15"/>
  <c r="AW6" i="15" s="1"/>
  <c r="U6" i="15"/>
  <c r="T6" i="15"/>
  <c r="AU6" i="15" s="1"/>
  <c r="S6" i="15"/>
  <c r="AE6" i="15" s="1"/>
  <c r="R6" i="15"/>
  <c r="R7" i="15" s="1"/>
  <c r="Q6" i="15"/>
  <c r="Q7" i="15" s="1"/>
  <c r="P6" i="15"/>
  <c r="O6" i="15"/>
  <c r="N6" i="15"/>
  <c r="N7" i="15" s="1"/>
  <c r="N8" i="15" s="1"/>
  <c r="N9" i="15" s="1"/>
  <c r="N10" i="15" s="1"/>
  <c r="N11" i="15" s="1"/>
  <c r="N12" i="15" s="1"/>
  <c r="N13" i="15" s="1"/>
  <c r="N14" i="15" s="1"/>
  <c r="N15" i="15" s="1"/>
  <c r="N16" i="15" s="1"/>
  <c r="N17" i="15" s="1"/>
  <c r="N18" i="15" s="1"/>
  <c r="N19" i="15" s="1"/>
  <c r="N20" i="15" s="1"/>
  <c r="N21" i="15" s="1"/>
  <c r="M6" i="15"/>
  <c r="L6" i="15"/>
  <c r="K6" i="15"/>
  <c r="J6" i="15"/>
  <c r="AZ6" i="15" s="1"/>
  <c r="I6" i="15"/>
  <c r="H6" i="15"/>
  <c r="G6" i="15"/>
  <c r="F6" i="15"/>
  <c r="AM6" i="15" s="1"/>
  <c r="E6" i="15"/>
  <c r="AL6" i="15" s="1"/>
  <c r="D6" i="15"/>
  <c r="C6" i="15"/>
  <c r="B6" i="15"/>
  <c r="BO5" i="15"/>
  <c r="BL5" i="15"/>
  <c r="BK5" i="15"/>
  <c r="BN5" i="15" s="1"/>
  <c r="BJ5" i="15"/>
  <c r="BI5" i="15"/>
  <c r="BH5" i="15"/>
  <c r="BG5" i="15"/>
  <c r="BM5" i="15" s="1"/>
  <c r="BE5" i="15"/>
  <c r="BC5" i="15"/>
  <c r="BF5" i="15" s="1"/>
  <c r="BB5" i="15"/>
  <c r="BA5" i="15"/>
  <c r="BD5" i="15" s="1"/>
  <c r="AZ5" i="15"/>
  <c r="AY5" i="15"/>
  <c r="AX5" i="15"/>
  <c r="AW5" i="15"/>
  <c r="AV5" i="15"/>
  <c r="AU5" i="15"/>
  <c r="AT5" i="15"/>
  <c r="AS5" i="15"/>
  <c r="AR5" i="15"/>
  <c r="AQ5" i="15"/>
  <c r="AP5" i="15"/>
  <c r="AO5" i="15"/>
  <c r="AN5" i="15"/>
  <c r="AM5" i="15"/>
  <c r="AL5" i="15"/>
  <c r="AK5" i="15"/>
  <c r="AJ5" i="15"/>
  <c r="AI5" i="15"/>
  <c r="AH5" i="15"/>
  <c r="AG5" i="15"/>
  <c r="AF5" i="15"/>
  <c r="AE5" i="15"/>
  <c r="AD5" i="15"/>
  <c r="AC5" i="15"/>
  <c r="AB5" i="15"/>
  <c r="AA5" i="15"/>
  <c r="Z5" i="15"/>
  <c r="BL10" i="1"/>
  <c r="BL11" i="1"/>
  <c r="BL14" i="1"/>
  <c r="BK17" i="1"/>
  <c r="BL18" i="1"/>
  <c r="BK21" i="1"/>
  <c r="BK22" i="1"/>
  <c r="BJ25" i="1"/>
  <c r="BK25" i="1"/>
  <c r="BJ28" i="1"/>
  <c r="BK29" i="1"/>
  <c r="BI5" i="1"/>
  <c r="BA25" i="1"/>
  <c r="BC25" i="1"/>
  <c r="AX25" i="1"/>
  <c r="AU7" i="1"/>
  <c r="AV9" i="1"/>
  <c r="AW9" i="1"/>
  <c r="AU11" i="1"/>
  <c r="AV12" i="1"/>
  <c r="AW13" i="1"/>
  <c r="AV16" i="1"/>
  <c r="AU19" i="1"/>
  <c r="AW19" i="1"/>
  <c r="AV20" i="1"/>
  <c r="AW21" i="1"/>
  <c r="AV24" i="1"/>
  <c r="AW25" i="1"/>
  <c r="AV28" i="1"/>
  <c r="AW5" i="1"/>
  <c r="AT6" i="1"/>
  <c r="AR12" i="1"/>
  <c r="AT14" i="1"/>
  <c r="AR16" i="1"/>
  <c r="AR20" i="1"/>
  <c r="AS21" i="1"/>
  <c r="AT22" i="1"/>
  <c r="AT26" i="1"/>
  <c r="AR28" i="1"/>
  <c r="AT5" i="1"/>
  <c r="AR5" i="1"/>
  <c r="AP5" i="1"/>
  <c r="AM25" i="1"/>
  <c r="G6" i="18" l="1"/>
  <c r="G6" i="20" s="1"/>
  <c r="C7" i="18"/>
  <c r="C7" i="20" s="1"/>
  <c r="D7" i="18"/>
  <c r="D7" i="20" s="1"/>
  <c r="T23" i="1"/>
  <c r="AU23" i="1" s="1"/>
  <c r="T22" i="1"/>
  <c r="B7" i="20"/>
  <c r="E7" i="18"/>
  <c r="E7" i="20" s="1"/>
  <c r="BL7" i="1"/>
  <c r="Z5" i="1"/>
  <c r="BA5" i="1"/>
  <c r="AS25" i="1"/>
  <c r="BK9" i="1"/>
  <c r="R8" i="1"/>
  <c r="BK8" i="1" s="1"/>
  <c r="AR11" i="1"/>
  <c r="AS12" i="1"/>
  <c r="AT13" i="1"/>
  <c r="AR15" i="1"/>
  <c r="AS16" i="1"/>
  <c r="AT17" i="1"/>
  <c r="AR19" i="1"/>
  <c r="AS20" i="1"/>
  <c r="AT21" i="1"/>
  <c r="AR23" i="1"/>
  <c r="AS24" i="1"/>
  <c r="AT25" i="1"/>
  <c r="AR27" i="1"/>
  <c r="AS28" i="1"/>
  <c r="AT29" i="1"/>
  <c r="S9" i="1"/>
  <c r="BL9" i="1" s="1"/>
  <c r="Q7" i="1"/>
  <c r="AR7" i="1" s="1"/>
  <c r="AV10" i="1"/>
  <c r="AW11" i="1"/>
  <c r="AU13" i="1"/>
  <c r="AW15" i="1"/>
  <c r="AU17" i="1"/>
  <c r="AU21" i="1"/>
  <c r="AV22" i="1"/>
  <c r="AV26" i="1"/>
  <c r="AW27" i="1"/>
  <c r="AN5" i="1"/>
  <c r="BB5" i="1"/>
  <c r="AY25" i="1"/>
  <c r="BC5" i="1"/>
  <c r="BF5" i="1" s="1"/>
  <c r="BJ7" i="1"/>
  <c r="BJ11" i="1"/>
  <c r="BK12" i="1"/>
  <c r="BL13" i="1"/>
  <c r="BJ15" i="1"/>
  <c r="BK16" i="1"/>
  <c r="BL17" i="1"/>
  <c r="BJ19" i="1"/>
  <c r="BK20" i="1"/>
  <c r="BL21" i="1"/>
  <c r="BJ23" i="1"/>
  <c r="BK24" i="1"/>
  <c r="BL25" i="1"/>
  <c r="BJ27" i="1"/>
  <c r="BK28" i="1"/>
  <c r="BL29" i="1"/>
  <c r="BK10" i="1"/>
  <c r="BJ13" i="1"/>
  <c r="BL15" i="1"/>
  <c r="BK18" i="1"/>
  <c r="BJ21" i="1"/>
  <c r="BL23" i="1"/>
  <c r="BK26" i="1"/>
  <c r="BJ29" i="1"/>
  <c r="AZ5" i="1"/>
  <c r="B8" i="18"/>
  <c r="B8" i="20" s="1"/>
  <c r="H3" i="16"/>
  <c r="L3" i="16"/>
  <c r="F7" i="18"/>
  <c r="F7" i="20" s="1"/>
  <c r="B4" i="16"/>
  <c r="D8" i="18"/>
  <c r="D8" i="20" s="1"/>
  <c r="G7" i="18"/>
  <c r="G7" i="20" s="1"/>
  <c r="AU6" i="1"/>
  <c r="AV7" i="1"/>
  <c r="AW8" i="1"/>
  <c r="AU10" i="1"/>
  <c r="AV11" i="1"/>
  <c r="AW12" i="1"/>
  <c r="AU14" i="1"/>
  <c r="AV15" i="1"/>
  <c r="AW16" i="1"/>
  <c r="AU18" i="1"/>
  <c r="AV19" i="1"/>
  <c r="AW20" i="1"/>
  <c r="AU22" i="1"/>
  <c r="AV23" i="1"/>
  <c r="AW24" i="1"/>
  <c r="AV27" i="1"/>
  <c r="AW28" i="1"/>
  <c r="BJ6" i="1"/>
  <c r="BK7" i="1"/>
  <c r="BL8" i="1"/>
  <c r="BJ10" i="1"/>
  <c r="BK11" i="1"/>
  <c r="BL12" i="1"/>
  <c r="BJ14" i="1"/>
  <c r="BK15" i="1"/>
  <c r="BL16" i="1"/>
  <c r="BJ18" i="1"/>
  <c r="BK19" i="1"/>
  <c r="BL20" i="1"/>
  <c r="BJ22" i="1"/>
  <c r="BK23" i="1"/>
  <c r="BL24" i="1"/>
  <c r="BJ26" i="1"/>
  <c r="BK27" i="1"/>
  <c r="BL28" i="1"/>
  <c r="AS6" i="1"/>
  <c r="AT7" i="1"/>
  <c r="AR9" i="1"/>
  <c r="AS10" i="1"/>
  <c r="AT11" i="1"/>
  <c r="AR13" i="1"/>
  <c r="AS14" i="1"/>
  <c r="AT15" i="1"/>
  <c r="AR17" i="1"/>
  <c r="AS18" i="1"/>
  <c r="AT19" i="1"/>
  <c r="AR21" i="1"/>
  <c r="AS22" i="1"/>
  <c r="AT23" i="1"/>
  <c r="AR25" i="1"/>
  <c r="AS26" i="1"/>
  <c r="AT27" i="1"/>
  <c r="AR29" i="1"/>
  <c r="AS5" i="1"/>
  <c r="BG25" i="1"/>
  <c r="BM25" i="1" s="1"/>
  <c r="BM5" i="1"/>
  <c r="AQ25" i="1"/>
  <c r="BL5" i="1"/>
  <c r="AQ5" i="1"/>
  <c r="BO25" i="1"/>
  <c r="BN25" i="1"/>
  <c r="AO25" i="1"/>
  <c r="BH5" i="1"/>
  <c r="BN5" i="1" s="1"/>
  <c r="AO5" i="1"/>
  <c r="AP25" i="1"/>
  <c r="BO5" i="1"/>
  <c r="AX5" i="1"/>
  <c r="BD5" i="1" s="1"/>
  <c r="BF25" i="1"/>
  <c r="BD25" i="1"/>
  <c r="BE25" i="1"/>
  <c r="BE5" i="1"/>
  <c r="AM5" i="1"/>
  <c r="AN25" i="1"/>
  <c r="AL5" i="1"/>
  <c r="N22" i="15"/>
  <c r="Z21" i="15"/>
  <c r="R8" i="15"/>
  <c r="AD7" i="15"/>
  <c r="AS7" i="15"/>
  <c r="L9" i="15"/>
  <c r="BB8" i="15"/>
  <c r="AA21" i="15"/>
  <c r="O22" i="15"/>
  <c r="O23" i="15" s="1"/>
  <c r="O24" i="15" s="1"/>
  <c r="P22" i="15"/>
  <c r="P23" i="15" s="1"/>
  <c r="P24" i="15" s="1"/>
  <c r="AB21" i="15"/>
  <c r="I7" i="15"/>
  <c r="AY6" i="15"/>
  <c r="M7" i="15"/>
  <c r="BC6" i="15"/>
  <c r="BF6" i="15" s="1"/>
  <c r="AQ6" i="15"/>
  <c r="AR7" i="15"/>
  <c r="U7" i="15"/>
  <c r="AA6" i="15"/>
  <c r="AC6" i="15"/>
  <c r="AH6" i="15"/>
  <c r="J8" i="15"/>
  <c r="AZ7" i="15"/>
  <c r="AC7" i="15"/>
  <c r="BI7" i="15"/>
  <c r="BG8" i="15"/>
  <c r="BE26" i="15"/>
  <c r="AD6" i="15"/>
  <c r="AJ6" i="15"/>
  <c r="BJ6" i="15"/>
  <c r="V7" i="15"/>
  <c r="AO7" i="15"/>
  <c r="BJ7" i="15"/>
  <c r="T8" i="15"/>
  <c r="AX8" i="15"/>
  <c r="H9" i="15"/>
  <c r="AM15" i="15"/>
  <c r="V24" i="15"/>
  <c r="I27" i="15"/>
  <c r="BH26" i="15"/>
  <c r="AY26" i="15"/>
  <c r="M27" i="15"/>
  <c r="BC26" i="15"/>
  <c r="BF26" i="15" s="1"/>
  <c r="AQ26" i="15"/>
  <c r="AC26" i="15"/>
  <c r="Q27" i="15"/>
  <c r="AR26" i="15"/>
  <c r="AD29" i="15"/>
  <c r="AI6" i="15"/>
  <c r="Z6" i="15"/>
  <c r="AF6" i="15"/>
  <c r="AK6" i="15"/>
  <c r="AP6" i="15"/>
  <c r="AV6" i="15"/>
  <c r="BA6" i="15"/>
  <c r="BD6" i="15" s="1"/>
  <c r="BL6" i="15"/>
  <c r="BO6" i="15" s="1"/>
  <c r="Z7" i="15"/>
  <c r="AK7" i="15"/>
  <c r="AP7" i="15"/>
  <c r="BA7" i="15"/>
  <c r="BD7" i="15" s="1"/>
  <c r="BK7" i="15"/>
  <c r="K8" i="15"/>
  <c r="AB22" i="15"/>
  <c r="L28" i="15"/>
  <c r="BB27" i="15"/>
  <c r="AP27" i="15"/>
  <c r="BK27" i="15"/>
  <c r="BG6" i="15"/>
  <c r="BK6" i="15"/>
  <c r="AB6" i="15"/>
  <c r="AG6" i="15"/>
  <c r="AR6" i="15"/>
  <c r="BB6" i="15"/>
  <c r="BE6" i="15" s="1"/>
  <c r="BH6" i="15"/>
  <c r="AF7" i="15"/>
  <c r="S7" i="15"/>
  <c r="AG7" i="15"/>
  <c r="BB7" i="15"/>
  <c r="BG7" i="15"/>
  <c r="Q8" i="15"/>
  <c r="AM14" i="15"/>
  <c r="AI26" i="15"/>
  <c r="BL26" i="15"/>
  <c r="T24" i="15"/>
  <c r="T24" i="1" s="1"/>
  <c r="AU24" i="1" s="1"/>
  <c r="K27" i="15"/>
  <c r="BA26" i="15"/>
  <c r="BD26" i="15" s="1"/>
  <c r="AO26" i="15"/>
  <c r="AK26" i="15"/>
  <c r="AJ26" i="15"/>
  <c r="BJ26" i="15"/>
  <c r="BM26" i="15" s="1"/>
  <c r="O28" i="15"/>
  <c r="AS27" i="15"/>
  <c r="S27" i="15"/>
  <c r="AE26" i="15"/>
  <c r="J29" i="15"/>
  <c r="BI28" i="15"/>
  <c r="AD28" i="15"/>
  <c r="U23" i="15"/>
  <c r="AA22" i="15"/>
  <c r="AV22" i="15"/>
  <c r="AN23" i="15"/>
  <c r="BD25" i="15"/>
  <c r="AG26" i="15"/>
  <c r="H27" i="15"/>
  <c r="AH26" i="15"/>
  <c r="BK26" i="15"/>
  <c r="AP26" i="15"/>
  <c r="AF26" i="15"/>
  <c r="AZ27" i="15"/>
  <c r="AZ28" i="15"/>
  <c r="C27" i="15"/>
  <c r="AM27" i="15" s="1"/>
  <c r="C28" i="15"/>
  <c r="AM28" i="15" s="1"/>
  <c r="C23" i="15"/>
  <c r="AM23" i="15" s="1"/>
  <c r="C19" i="15"/>
  <c r="AM19" i="15" s="1"/>
  <c r="C15" i="15"/>
  <c r="G27" i="15"/>
  <c r="AN27" i="15" s="1"/>
  <c r="G29" i="15"/>
  <c r="AN29" i="15" s="1"/>
  <c r="G28" i="15"/>
  <c r="AN28" i="15" s="1"/>
  <c r="G19" i="15"/>
  <c r="AN19" i="15" s="1"/>
  <c r="G15" i="15"/>
  <c r="AN15" i="15" s="1"/>
  <c r="E29" i="15"/>
  <c r="AL29" i="15" s="1"/>
  <c r="E23" i="15"/>
  <c r="AL23" i="15" s="1"/>
  <c r="BI26" i="15"/>
  <c r="AS26" i="15"/>
  <c r="BB10" i="1"/>
  <c r="BC8" i="1"/>
  <c r="BB8" i="1"/>
  <c r="BB7" i="1"/>
  <c r="BA7" i="1"/>
  <c r="BB6" i="1"/>
  <c r="C8" i="18" l="1"/>
  <c r="C8" i="20" s="1"/>
  <c r="AT9" i="1"/>
  <c r="AS8" i="1"/>
  <c r="F8" i="18"/>
  <c r="F8" i="20" s="1"/>
  <c r="C9" i="18"/>
  <c r="C9" i="20" s="1"/>
  <c r="D9" i="18"/>
  <c r="D9" i="20" s="1"/>
  <c r="G8" i="18"/>
  <c r="G8" i="20" s="1"/>
  <c r="B5" i="16"/>
  <c r="E5" i="16" s="1"/>
  <c r="E4" i="16"/>
  <c r="B9" i="18"/>
  <c r="B9" i="20" s="1"/>
  <c r="E8" i="18"/>
  <c r="E8" i="20" s="1"/>
  <c r="BB12" i="1"/>
  <c r="BB20" i="1"/>
  <c r="BB24" i="1"/>
  <c r="BB29" i="1"/>
  <c r="BB11" i="1"/>
  <c r="BB19" i="1"/>
  <c r="BB23" i="1"/>
  <c r="BB28" i="1"/>
  <c r="BB14" i="1"/>
  <c r="BB13" i="1"/>
  <c r="BB17" i="1"/>
  <c r="BB21" i="1"/>
  <c r="BB26" i="1"/>
  <c r="BC13" i="1"/>
  <c r="BC12" i="1"/>
  <c r="BC24" i="1"/>
  <c r="BC15" i="1"/>
  <c r="BC19" i="1"/>
  <c r="BC23" i="1"/>
  <c r="BC28" i="1"/>
  <c r="BC18" i="1"/>
  <c r="BC22" i="1"/>
  <c r="AL15" i="1"/>
  <c r="BA14" i="1"/>
  <c r="BA18" i="1"/>
  <c r="AL22" i="1"/>
  <c r="BA13" i="1"/>
  <c r="BA26" i="1"/>
  <c r="BA12" i="1"/>
  <c r="BA24" i="1"/>
  <c r="BA29" i="1"/>
  <c r="BC9" i="1"/>
  <c r="BC11" i="1"/>
  <c r="BC14" i="1"/>
  <c r="BC17" i="1"/>
  <c r="BC21" i="1"/>
  <c r="BC26" i="1"/>
  <c r="BC7" i="1"/>
  <c r="BC27" i="1"/>
  <c r="BC29" i="1"/>
  <c r="BC6" i="1"/>
  <c r="BC10" i="1"/>
  <c r="BC16" i="1"/>
  <c r="BC20" i="1"/>
  <c r="BA21" i="1"/>
  <c r="BA27" i="1"/>
  <c r="BA8" i="1"/>
  <c r="AX6" i="1"/>
  <c r="AL17" i="1"/>
  <c r="AL29" i="1"/>
  <c r="AM11" i="1"/>
  <c r="AM28" i="1"/>
  <c r="AM12" i="1"/>
  <c r="AM16" i="1"/>
  <c r="AN27" i="1"/>
  <c r="AM29" i="1"/>
  <c r="AL26" i="1"/>
  <c r="AL16" i="1"/>
  <c r="AL7" i="1"/>
  <c r="AL21" i="1"/>
  <c r="AL23" i="1"/>
  <c r="AL24" i="1"/>
  <c r="H28" i="15"/>
  <c r="AX27" i="15"/>
  <c r="AH27" i="15"/>
  <c r="BG27" i="15"/>
  <c r="AF27" i="15"/>
  <c r="AG27" i="15"/>
  <c r="AT27" i="15"/>
  <c r="S28" i="15"/>
  <c r="AE27" i="15"/>
  <c r="BJ27" i="15"/>
  <c r="BM27" i="15" s="1"/>
  <c r="BA27" i="15"/>
  <c r="BD27" i="15" s="1"/>
  <c r="AK27" i="15"/>
  <c r="K28" i="15"/>
  <c r="AJ27" i="15"/>
  <c r="AO27" i="15"/>
  <c r="AI27" i="15"/>
  <c r="K9" i="15"/>
  <c r="BA8" i="15"/>
  <c r="BD8" i="15" s="1"/>
  <c r="AO8" i="15"/>
  <c r="AK8" i="15"/>
  <c r="BJ8" i="15"/>
  <c r="BM8" i="15" s="1"/>
  <c r="AU8" i="15"/>
  <c r="Z8" i="15"/>
  <c r="T9" i="15"/>
  <c r="V8" i="15"/>
  <c r="AB7" i="15"/>
  <c r="AW7" i="15"/>
  <c r="BI8" i="15"/>
  <c r="J9" i="15"/>
  <c r="AZ8" i="15"/>
  <c r="AV7" i="15"/>
  <c r="AA7" i="15"/>
  <c r="U8" i="15"/>
  <c r="BL7" i="15"/>
  <c r="BO7" i="15" s="1"/>
  <c r="AQ7" i="15"/>
  <c r="M8" i="15"/>
  <c r="BC7" i="15"/>
  <c r="BF7" i="15" s="1"/>
  <c r="L10" i="15"/>
  <c r="BB9" i="15"/>
  <c r="AZ29" i="15"/>
  <c r="BI29" i="15"/>
  <c r="T25" i="15"/>
  <c r="T25" i="1" s="1"/>
  <c r="AU25" i="1" s="1"/>
  <c r="AU24" i="15"/>
  <c r="BN6" i="15"/>
  <c r="I28" i="15"/>
  <c r="BH27" i="15"/>
  <c r="BN27" i="15" s="1"/>
  <c r="AY27" i="15"/>
  <c r="BE27" i="15" s="1"/>
  <c r="H10" i="15"/>
  <c r="AX9" i="15"/>
  <c r="BG9" i="15"/>
  <c r="BM7" i="15"/>
  <c r="AJ7" i="15"/>
  <c r="AS8" i="15"/>
  <c r="AD8" i="15"/>
  <c r="R9" i="15"/>
  <c r="BN26" i="15"/>
  <c r="AV23" i="15"/>
  <c r="AA23" i="15"/>
  <c r="U24" i="15"/>
  <c r="O29" i="15"/>
  <c r="AS29" i="15" s="1"/>
  <c r="AS28" i="15"/>
  <c r="BO26" i="15"/>
  <c r="AC8" i="15"/>
  <c r="AR8" i="15"/>
  <c r="Q9" i="15"/>
  <c r="AE7" i="15"/>
  <c r="AT7" i="15"/>
  <c r="S8" i="15"/>
  <c r="BK28" i="15"/>
  <c r="BB28" i="15"/>
  <c r="AP28" i="15"/>
  <c r="L29" i="15"/>
  <c r="AC27" i="15"/>
  <c r="AR27" i="15"/>
  <c r="Q28" i="15"/>
  <c r="BL27" i="15"/>
  <c r="BO27" i="15" s="1"/>
  <c r="AQ27" i="15"/>
  <c r="M28" i="15"/>
  <c r="BC27" i="15"/>
  <c r="BF27" i="15" s="1"/>
  <c r="AB23" i="15"/>
  <c r="BM6" i="15"/>
  <c r="BH7" i="15"/>
  <c r="BN7" i="15" s="1"/>
  <c r="I8" i="15"/>
  <c r="AY7" i="15"/>
  <c r="BE7" i="15" s="1"/>
  <c r="AH7" i="15"/>
  <c r="BK8" i="15"/>
  <c r="AW24" i="15"/>
  <c r="V25" i="15"/>
  <c r="AB24" i="15"/>
  <c r="AI7" i="15"/>
  <c r="N23" i="15"/>
  <c r="Z22" i="15"/>
  <c r="BA28" i="1"/>
  <c r="BA22" i="1"/>
  <c r="BA19" i="1"/>
  <c r="BA11" i="1"/>
  <c r="BA9" i="1"/>
  <c r="BA16" i="1"/>
  <c r="BB27" i="1"/>
  <c r="BB18" i="1"/>
  <c r="BA6" i="1"/>
  <c r="BB9" i="1"/>
  <c r="BA10" i="1"/>
  <c r="BB15" i="1"/>
  <c r="BB16" i="1"/>
  <c r="BA17" i="1"/>
  <c r="BA20" i="1"/>
  <c r="BB22" i="1"/>
  <c r="BA23" i="1"/>
  <c r="E9" i="18" l="1"/>
  <c r="E9" i="20" s="1"/>
  <c r="B10" i="18"/>
  <c r="B10" i="20" s="1"/>
  <c r="L4" i="16"/>
  <c r="H4" i="16"/>
  <c r="B6" i="16"/>
  <c r="E6" i="16" s="1"/>
  <c r="H5" i="16"/>
  <c r="L5" i="16"/>
  <c r="F9" i="18"/>
  <c r="F9" i="20" s="1"/>
  <c r="C10" i="18"/>
  <c r="C10" i="20" s="1"/>
  <c r="D10" i="18"/>
  <c r="D10" i="20" s="1"/>
  <c r="G9" i="18"/>
  <c r="G9" i="20" s="1"/>
  <c r="BH26" i="1"/>
  <c r="BN26" i="1" s="1"/>
  <c r="AP26" i="1"/>
  <c r="BH6" i="1"/>
  <c r="BN6" i="1" s="1"/>
  <c r="AP6" i="1"/>
  <c r="AO26" i="1"/>
  <c r="BG26" i="1"/>
  <c r="BM26" i="1" s="1"/>
  <c r="BI26" i="1"/>
  <c r="BO26" i="1" s="1"/>
  <c r="AQ26" i="1"/>
  <c r="AX26" i="1"/>
  <c r="AO6" i="1"/>
  <c r="BG6" i="1"/>
  <c r="BM6" i="1" s="1"/>
  <c r="BI6" i="1"/>
  <c r="BO6" i="1" s="1"/>
  <c r="AQ6" i="1"/>
  <c r="BD26" i="1"/>
  <c r="BA15" i="1"/>
  <c r="AM27" i="1"/>
  <c r="AM15" i="1"/>
  <c r="AL6" i="1"/>
  <c r="AL28" i="1"/>
  <c r="AL20" i="1"/>
  <c r="BD6" i="1"/>
  <c r="AL10" i="1"/>
  <c r="AL8" i="1"/>
  <c r="AL19" i="1"/>
  <c r="AM13" i="1"/>
  <c r="AN11" i="1"/>
  <c r="AN10" i="1"/>
  <c r="AN22" i="1"/>
  <c r="AN21" i="1"/>
  <c r="AN16" i="1"/>
  <c r="AM22" i="1"/>
  <c r="AM24" i="1"/>
  <c r="AM19" i="1"/>
  <c r="AM7" i="1"/>
  <c r="AN9" i="1"/>
  <c r="AN14" i="1"/>
  <c r="AN7" i="1"/>
  <c r="AZ7" i="1"/>
  <c r="BF7" i="1" s="1"/>
  <c r="AN24" i="1"/>
  <c r="AN20" i="1"/>
  <c r="AM17" i="1"/>
  <c r="AM23" i="1"/>
  <c r="AM18" i="1"/>
  <c r="AM6" i="1"/>
  <c r="AY6" i="1"/>
  <c r="BE6" i="1" s="1"/>
  <c r="AN28" i="1"/>
  <c r="AN8" i="1"/>
  <c r="AN15" i="1"/>
  <c r="AN18" i="1"/>
  <c r="AZ26" i="1"/>
  <c r="BF26" i="1" s="1"/>
  <c r="AN26" i="1"/>
  <c r="AN23" i="1"/>
  <c r="AM9" i="1"/>
  <c r="AM21" i="1"/>
  <c r="AM14" i="1"/>
  <c r="AN13" i="1"/>
  <c r="AZ6" i="1"/>
  <c r="BF6" i="1" s="1"/>
  <c r="AN6" i="1"/>
  <c r="AN17" i="1"/>
  <c r="AN19" i="1"/>
  <c r="AN12" i="1"/>
  <c r="AN29" i="1"/>
  <c r="AY26" i="1"/>
  <c r="BE26" i="1" s="1"/>
  <c r="AM26" i="1"/>
  <c r="AM8" i="1"/>
  <c r="AM20" i="1"/>
  <c r="AM10" i="1"/>
  <c r="AL11" i="1"/>
  <c r="AL14" i="1"/>
  <c r="AL18" i="1"/>
  <c r="AL13" i="1"/>
  <c r="AX27" i="1"/>
  <c r="BD27" i="1" s="1"/>
  <c r="AL27" i="1"/>
  <c r="AL12" i="1"/>
  <c r="AL9" i="1"/>
  <c r="N24" i="15"/>
  <c r="Z24" i="15" s="1"/>
  <c r="Z23" i="15"/>
  <c r="V26" i="15"/>
  <c r="AB25" i="15"/>
  <c r="AW25" i="15"/>
  <c r="BK29" i="15"/>
  <c r="BB29" i="15"/>
  <c r="S9" i="15"/>
  <c r="AE8" i="15"/>
  <c r="AT8" i="15"/>
  <c r="T26" i="15"/>
  <c r="T26" i="1" s="1"/>
  <c r="AU26" i="1" s="1"/>
  <c r="AU25" i="15"/>
  <c r="Z25" i="15"/>
  <c r="M9" i="15"/>
  <c r="BC8" i="15"/>
  <c r="BF8" i="15" s="1"/>
  <c r="BL8" i="15"/>
  <c r="BO8" i="15" s="1"/>
  <c r="AQ8" i="15"/>
  <c r="T10" i="15"/>
  <c r="Z9" i="15"/>
  <c r="AU9" i="15"/>
  <c r="I9" i="15"/>
  <c r="AY8" i="15"/>
  <c r="BE8" i="15" s="1"/>
  <c r="BH8" i="15"/>
  <c r="BN8" i="15" s="1"/>
  <c r="AF8" i="15"/>
  <c r="AH8" i="15"/>
  <c r="AP8" i="15"/>
  <c r="AG8" i="15"/>
  <c r="Q29" i="15"/>
  <c r="AR28" i="15"/>
  <c r="AC28" i="15"/>
  <c r="U25" i="15"/>
  <c r="AV24" i="15"/>
  <c r="AA24" i="15"/>
  <c r="AD9" i="15"/>
  <c r="AS9" i="15"/>
  <c r="R10" i="15"/>
  <c r="AJ8" i="15"/>
  <c r="BJ9" i="15"/>
  <c r="BM9" i="15" s="1"/>
  <c r="BA9" i="15"/>
  <c r="BD9" i="15" s="1"/>
  <c r="AK9" i="15"/>
  <c r="K10" i="15"/>
  <c r="AO9" i="15"/>
  <c r="M29" i="15"/>
  <c r="BC28" i="15"/>
  <c r="BF28" i="15" s="1"/>
  <c r="AQ28" i="15"/>
  <c r="BL28" i="15"/>
  <c r="BO28" i="15" s="1"/>
  <c r="BE28" i="15"/>
  <c r="I29" i="15"/>
  <c r="AP29" i="15" s="1"/>
  <c r="AY28" i="15"/>
  <c r="BH28" i="15"/>
  <c r="BK10" i="15"/>
  <c r="BB10" i="15"/>
  <c r="L11" i="15"/>
  <c r="AI28" i="15"/>
  <c r="BA28" i="15"/>
  <c r="BD28" i="15" s="1"/>
  <c r="K29" i="15"/>
  <c r="BJ28" i="15"/>
  <c r="AO28" i="15"/>
  <c r="AK28" i="15"/>
  <c r="AJ28" i="15"/>
  <c r="BG28" i="15"/>
  <c r="AG28" i="15"/>
  <c r="AF28" i="15"/>
  <c r="AH28" i="15"/>
  <c r="H29" i="15"/>
  <c r="AX28" i="15"/>
  <c r="BN28" i="15"/>
  <c r="AC9" i="15"/>
  <c r="AR9" i="15"/>
  <c r="Q10" i="15"/>
  <c r="BG10" i="15"/>
  <c r="AX10" i="15"/>
  <c r="H11" i="15"/>
  <c r="BK9" i="15"/>
  <c r="U9" i="15"/>
  <c r="AV8" i="15"/>
  <c r="AA8" i="15"/>
  <c r="J10" i="15"/>
  <c r="BI9" i="15"/>
  <c r="AZ9" i="15"/>
  <c r="AW8" i="15"/>
  <c r="AB8" i="15"/>
  <c r="V9" i="15"/>
  <c r="AI8" i="15"/>
  <c r="AE28" i="15"/>
  <c r="AT28" i="15"/>
  <c r="S29" i="15"/>
  <c r="AI5" i="1"/>
  <c r="S6" i="12"/>
  <c r="AH5" i="1"/>
  <c r="B7" i="16" l="1"/>
  <c r="E7" i="16" s="1"/>
  <c r="H7" i="16"/>
  <c r="L7" i="16"/>
  <c r="C11" i="18"/>
  <c r="C11" i="20" s="1"/>
  <c r="F10" i="18"/>
  <c r="F10" i="20" s="1"/>
  <c r="L6" i="16"/>
  <c r="H6" i="16"/>
  <c r="B11" i="18"/>
  <c r="B11" i="20" s="1"/>
  <c r="E10" i="18"/>
  <c r="E10" i="20" s="1"/>
  <c r="G10" i="18"/>
  <c r="G10" i="20" s="1"/>
  <c r="D11" i="18"/>
  <c r="D11" i="20" s="1"/>
  <c r="BH7" i="1"/>
  <c r="BN7" i="1" s="1"/>
  <c r="AP7" i="1"/>
  <c r="BG7" i="1"/>
  <c r="BM7" i="1" s="1"/>
  <c r="AO7" i="1"/>
  <c r="AX7" i="1"/>
  <c r="BD7" i="1" s="1"/>
  <c r="BG27" i="1"/>
  <c r="BM27" i="1" s="1"/>
  <c r="AO27" i="1"/>
  <c r="AQ27" i="1"/>
  <c r="BI27" i="1"/>
  <c r="BO27" i="1" s="1"/>
  <c r="AZ27" i="1"/>
  <c r="BF27" i="1" s="1"/>
  <c r="AY7" i="1"/>
  <c r="BE7" i="1" s="1"/>
  <c r="BI7" i="1"/>
  <c r="BO7" i="1" s="1"/>
  <c r="AQ7" i="1"/>
  <c r="BH27" i="1"/>
  <c r="BN27" i="1" s="1"/>
  <c r="AP27" i="1"/>
  <c r="AY27" i="1"/>
  <c r="BE27" i="1" s="1"/>
  <c r="AT29" i="15"/>
  <c r="AE29" i="15"/>
  <c r="AW9" i="15"/>
  <c r="AB9" i="15"/>
  <c r="V10" i="15"/>
  <c r="U10" i="15"/>
  <c r="AV9" i="15"/>
  <c r="AA9" i="15"/>
  <c r="H12" i="15"/>
  <c r="AX11" i="15"/>
  <c r="BG11" i="15"/>
  <c r="Q11" i="15"/>
  <c r="AC10" i="15"/>
  <c r="AR10" i="15"/>
  <c r="BL29" i="15"/>
  <c r="BO29" i="15" s="1"/>
  <c r="BC29" i="15"/>
  <c r="BF29" i="15" s="1"/>
  <c r="AQ29" i="15"/>
  <c r="BA10" i="15"/>
  <c r="BD10" i="15" s="1"/>
  <c r="AK10" i="15"/>
  <c r="K11" i="15"/>
  <c r="BJ10" i="15"/>
  <c r="BM10" i="15" s="1"/>
  <c r="AO10" i="15"/>
  <c r="AJ10" i="15"/>
  <c r="AV25" i="15"/>
  <c r="AA25" i="15"/>
  <c r="U26" i="15"/>
  <c r="AU26" i="15"/>
  <c r="Z26" i="15"/>
  <c r="T27" i="15"/>
  <c r="T27" i="1" s="1"/>
  <c r="AU27" i="1" s="1"/>
  <c r="J11" i="15"/>
  <c r="BI10" i="15"/>
  <c r="AZ10" i="15"/>
  <c r="BN9" i="15"/>
  <c r="AF29" i="15"/>
  <c r="AX29" i="15"/>
  <c r="AH29" i="15"/>
  <c r="BG29" i="15"/>
  <c r="AG29" i="15"/>
  <c r="BM28" i="15"/>
  <c r="AU10" i="15"/>
  <c r="T11" i="15"/>
  <c r="Z10" i="15"/>
  <c r="BC9" i="15"/>
  <c r="BF9" i="15" s="1"/>
  <c r="M10" i="15"/>
  <c r="BL9" i="15"/>
  <c r="BO9" i="15" s="1"/>
  <c r="AQ9" i="15"/>
  <c r="AW26" i="15"/>
  <c r="V27" i="15"/>
  <c r="AB26" i="15"/>
  <c r="AJ29" i="15"/>
  <c r="BA29" i="15"/>
  <c r="BJ29" i="15"/>
  <c r="BM29" i="15" s="1"/>
  <c r="AO29" i="15"/>
  <c r="AK29" i="15"/>
  <c r="AI29" i="15"/>
  <c r="L12" i="15"/>
  <c r="BB11" i="15"/>
  <c r="AJ9" i="15"/>
  <c r="AY9" i="15"/>
  <c r="BE9" i="15" s="1"/>
  <c r="I10" i="15"/>
  <c r="BH9" i="15"/>
  <c r="AF9" i="15"/>
  <c r="AH9" i="15"/>
  <c r="AP9" i="15"/>
  <c r="AG9" i="15"/>
  <c r="BH29" i="15"/>
  <c r="BN29" i="15" s="1"/>
  <c r="AY29" i="15"/>
  <c r="BE29" i="15" s="1"/>
  <c r="AI9" i="15"/>
  <c r="AS10" i="15"/>
  <c r="R11" i="15"/>
  <c r="AD10" i="15"/>
  <c r="AR29" i="15"/>
  <c r="AC29" i="15"/>
  <c r="AT9" i="15"/>
  <c r="S10" i="15"/>
  <c r="AE9" i="15"/>
  <c r="AF5" i="1"/>
  <c r="J4" i="8"/>
  <c r="J5" i="8"/>
  <c r="J6" i="8"/>
  <c r="J7" i="8"/>
  <c r="I7" i="8" s="1"/>
  <c r="J8" i="8"/>
  <c r="I4" i="8"/>
  <c r="I5" i="8"/>
  <c r="I6" i="8"/>
  <c r="I8" i="8"/>
  <c r="G4" i="8"/>
  <c r="G5" i="8"/>
  <c r="G6" i="8"/>
  <c r="F6" i="8" s="1"/>
  <c r="G7" i="8"/>
  <c r="F7" i="8" s="1"/>
  <c r="G8" i="8"/>
  <c r="F4" i="8"/>
  <c r="F5" i="8"/>
  <c r="F8" i="8"/>
  <c r="D4" i="8"/>
  <c r="C4" i="8"/>
  <c r="C5" i="8"/>
  <c r="C6" i="8"/>
  <c r="C7" i="8"/>
  <c r="C8" i="8"/>
  <c r="B4" i="8"/>
  <c r="H4" i="8" s="1"/>
  <c r="B5" i="8"/>
  <c r="D5" i="8" s="1"/>
  <c r="B8" i="8"/>
  <c r="H8" i="8" s="1"/>
  <c r="N35" i="9"/>
  <c r="N36" i="9"/>
  <c r="N37" i="9"/>
  <c r="N38" i="9"/>
  <c r="O38" i="9" s="1"/>
  <c r="N39" i="9"/>
  <c r="O35" i="9"/>
  <c r="O36" i="9"/>
  <c r="O37" i="9"/>
  <c r="O39" i="9"/>
  <c r="L36" i="9"/>
  <c r="L37" i="9"/>
  <c r="B6" i="8" s="1"/>
  <c r="D6" i="8" s="1"/>
  <c r="L38" i="9"/>
  <c r="B7" i="8" s="1"/>
  <c r="D7" i="8" s="1"/>
  <c r="L35" i="9"/>
  <c r="L39" i="9"/>
  <c r="M36" i="9"/>
  <c r="M37" i="9"/>
  <c r="M38" i="9"/>
  <c r="M39" i="9"/>
  <c r="M35" i="9"/>
  <c r="O3" i="9"/>
  <c r="O4" i="9"/>
  <c r="O5" i="9"/>
  <c r="O6" i="9"/>
  <c r="O7" i="9"/>
  <c r="L3" i="9"/>
  <c r="L4" i="9"/>
  <c r="L5" i="9"/>
  <c r="L6" i="9"/>
  <c r="L7" i="9"/>
  <c r="F11" i="18" l="1"/>
  <c r="F11" i="20" s="1"/>
  <c r="C12" i="18"/>
  <c r="C12" i="20" s="1"/>
  <c r="D12" i="18"/>
  <c r="D12" i="20" s="1"/>
  <c r="G11" i="18"/>
  <c r="G11" i="20" s="1"/>
  <c r="B8" i="16"/>
  <c r="B12" i="18"/>
  <c r="E11" i="18"/>
  <c r="E11" i="20" s="1"/>
  <c r="D8" i="8"/>
  <c r="H5" i="8"/>
  <c r="E8" i="8"/>
  <c r="E5" i="8"/>
  <c r="H6" i="8"/>
  <c r="AQ8" i="1"/>
  <c r="BI8" i="1"/>
  <c r="BO8" i="1" s="1"/>
  <c r="AZ8" i="1"/>
  <c r="BF8" i="1" s="1"/>
  <c r="BI28" i="1"/>
  <c r="BO28" i="1" s="1"/>
  <c r="AQ28" i="1"/>
  <c r="AZ28" i="1"/>
  <c r="BF28" i="1" s="1"/>
  <c r="BG28" i="1"/>
  <c r="BM28" i="1" s="1"/>
  <c r="AO28" i="1"/>
  <c r="AX28" i="1"/>
  <c r="BD28" i="1" s="1"/>
  <c r="BH28" i="1"/>
  <c r="BN28" i="1" s="1"/>
  <c r="AP28" i="1"/>
  <c r="AY28" i="1"/>
  <c r="BE28" i="1" s="1"/>
  <c r="AP8" i="1"/>
  <c r="BH8" i="1"/>
  <c r="BN8" i="1" s="1"/>
  <c r="AY8" i="1"/>
  <c r="BE8" i="1" s="1"/>
  <c r="BG8" i="1"/>
  <c r="BM8" i="1" s="1"/>
  <c r="AO8" i="1"/>
  <c r="AX8" i="1"/>
  <c r="BD8" i="1" s="1"/>
  <c r="R12" i="15"/>
  <c r="AS11" i="15"/>
  <c r="AD11" i="15"/>
  <c r="J12" i="15"/>
  <c r="AZ11" i="15"/>
  <c r="BI11" i="15"/>
  <c r="L13" i="15"/>
  <c r="BB12" i="15"/>
  <c r="V28" i="15"/>
  <c r="AW27" i="15"/>
  <c r="AB27" i="15"/>
  <c r="AU11" i="15"/>
  <c r="Z11" i="15"/>
  <c r="T12" i="15"/>
  <c r="U27" i="15"/>
  <c r="AV26" i="15"/>
  <c r="AA26" i="15"/>
  <c r="AR11" i="15"/>
  <c r="AC11" i="15"/>
  <c r="Q12" i="15"/>
  <c r="BD29" i="15"/>
  <c r="M11" i="15"/>
  <c r="BC10" i="15"/>
  <c r="BF10" i="15" s="1"/>
  <c r="AQ10" i="15"/>
  <c r="BL10" i="15"/>
  <c r="BO10" i="15" s="1"/>
  <c r="T28" i="15"/>
  <c r="T28" i="1" s="1"/>
  <c r="AU28" i="1" s="1"/>
  <c r="Z27" i="15"/>
  <c r="AU27" i="15"/>
  <c r="AI10" i="15"/>
  <c r="BG12" i="15"/>
  <c r="H13" i="15"/>
  <c r="AX12" i="15"/>
  <c r="U11" i="15"/>
  <c r="AA10" i="15"/>
  <c r="AV10" i="15"/>
  <c r="AE10" i="15"/>
  <c r="S11" i="15"/>
  <c r="AT10" i="15"/>
  <c r="I11" i="15"/>
  <c r="AY10" i="15"/>
  <c r="BE10" i="15" s="1"/>
  <c r="BH10" i="15"/>
  <c r="BN10" i="15" s="1"/>
  <c r="AF10" i="15"/>
  <c r="AP10" i="15"/>
  <c r="AH10" i="15"/>
  <c r="AG10" i="15"/>
  <c r="BK11" i="15"/>
  <c r="AJ11" i="15"/>
  <c r="K12" i="15"/>
  <c r="BA11" i="15"/>
  <c r="BD11" i="15" s="1"/>
  <c r="BJ11" i="15"/>
  <c r="BM11" i="15" s="1"/>
  <c r="AO11" i="15"/>
  <c r="AW10" i="15"/>
  <c r="AB10" i="15"/>
  <c r="V11" i="15"/>
  <c r="H7" i="8"/>
  <c r="E7" i="8"/>
  <c r="E6" i="8"/>
  <c r="B12" i="20" l="1"/>
  <c r="E12" i="18"/>
  <c r="E8" i="16"/>
  <c r="C13" i="18"/>
  <c r="C13" i="20" s="1"/>
  <c r="F12" i="18"/>
  <c r="F12" i="20" s="1"/>
  <c r="B9" i="16"/>
  <c r="E9" i="16" s="1"/>
  <c r="B13" i="18"/>
  <c r="E12" i="20"/>
  <c r="D13" i="18"/>
  <c r="D13" i="20" s="1"/>
  <c r="G12" i="18"/>
  <c r="G12" i="20" s="1"/>
  <c r="BH9" i="1"/>
  <c r="BN9" i="1" s="1"/>
  <c r="AP9" i="1"/>
  <c r="AY9" i="1"/>
  <c r="BE9" i="1" s="1"/>
  <c r="BI9" i="1"/>
  <c r="BO9" i="1" s="1"/>
  <c r="AQ9" i="1"/>
  <c r="AZ9" i="1"/>
  <c r="BF9" i="1" s="1"/>
  <c r="BG9" i="1"/>
  <c r="BM9" i="1" s="1"/>
  <c r="AO9" i="1"/>
  <c r="AX9" i="1"/>
  <c r="BD9" i="1" s="1"/>
  <c r="BH29" i="1"/>
  <c r="BN29" i="1" s="1"/>
  <c r="AP29" i="1"/>
  <c r="AY29" i="1"/>
  <c r="BE29" i="1" s="1"/>
  <c r="BG29" i="1"/>
  <c r="BM29" i="1" s="1"/>
  <c r="AO29" i="1"/>
  <c r="AX29" i="1"/>
  <c r="BD29" i="1" s="1"/>
  <c r="AQ29" i="1"/>
  <c r="BI29" i="1"/>
  <c r="BO29" i="1" s="1"/>
  <c r="AZ29" i="1"/>
  <c r="BF29" i="1" s="1"/>
  <c r="BH11" i="15"/>
  <c r="I12" i="15"/>
  <c r="AY11" i="15"/>
  <c r="BE11" i="15" s="1"/>
  <c r="AF11" i="15"/>
  <c r="AG11" i="15"/>
  <c r="AP11" i="15"/>
  <c r="AH11" i="15"/>
  <c r="AU28" i="15"/>
  <c r="T29" i="15"/>
  <c r="T29" i="1" s="1"/>
  <c r="AU29" i="1" s="1"/>
  <c r="Z28" i="15"/>
  <c r="BL11" i="15"/>
  <c r="BO11" i="15" s="1"/>
  <c r="M12" i="15"/>
  <c r="BC11" i="15"/>
  <c r="BF11" i="15" s="1"/>
  <c r="AQ11" i="15"/>
  <c r="AU12" i="15"/>
  <c r="AU30" i="15" s="1"/>
  <c r="Z12" i="15"/>
  <c r="T13" i="15"/>
  <c r="BB30" i="15"/>
  <c r="BI12" i="15"/>
  <c r="J13" i="15"/>
  <c r="AZ12" i="15"/>
  <c r="AS12" i="15"/>
  <c r="AS30" i="15" s="1"/>
  <c r="AD12" i="15"/>
  <c r="R13" i="15"/>
  <c r="BK13" i="15" s="1"/>
  <c r="AK11" i="15"/>
  <c r="BN11" i="15"/>
  <c r="H14" i="15"/>
  <c r="AX13" i="15"/>
  <c r="BG13" i="15"/>
  <c r="AW28" i="15"/>
  <c r="AB28" i="15"/>
  <c r="V29" i="15"/>
  <c r="L14" i="15"/>
  <c r="BB13" i="15"/>
  <c r="AI11" i="15"/>
  <c r="S12" i="15"/>
  <c r="AE11" i="15"/>
  <c r="AT11" i="15"/>
  <c r="AV11" i="15"/>
  <c r="AA11" i="15"/>
  <c r="U12" i="15"/>
  <c r="AC12" i="15"/>
  <c r="Q13" i="15"/>
  <c r="AR12" i="15"/>
  <c r="AR30" i="15" s="1"/>
  <c r="V12" i="15"/>
  <c r="AB11" i="15"/>
  <c r="AW11" i="15"/>
  <c r="K13" i="15"/>
  <c r="BA12" i="15"/>
  <c r="AO12" i="15"/>
  <c r="AK12" i="15"/>
  <c r="BJ12" i="15"/>
  <c r="BM12" i="15" s="1"/>
  <c r="AI12" i="15"/>
  <c r="AV27" i="15"/>
  <c r="AA27" i="15"/>
  <c r="U28" i="15"/>
  <c r="BK12" i="15"/>
  <c r="AG25" i="1"/>
  <c r="AH25" i="1"/>
  <c r="AF25" i="1"/>
  <c r="G9" i="8"/>
  <c r="B13" i="20" l="1"/>
  <c r="B14" i="18"/>
  <c r="L8" i="16"/>
  <c r="H8" i="16"/>
  <c r="E13" i="18"/>
  <c r="E13" i="20" s="1"/>
  <c r="B10" i="16"/>
  <c r="E10" i="16" s="1"/>
  <c r="C14" i="18"/>
  <c r="C14" i="20" s="1"/>
  <c r="F13" i="18"/>
  <c r="F13" i="20" s="1"/>
  <c r="G13" i="18"/>
  <c r="G13" i="20" s="1"/>
  <c r="D14" i="18"/>
  <c r="D14" i="20" s="1"/>
  <c r="H9" i="16"/>
  <c r="L9" i="16"/>
  <c r="BI10" i="1"/>
  <c r="BO10" i="1" s="1"/>
  <c r="AQ10" i="1"/>
  <c r="AZ10" i="1"/>
  <c r="BF10" i="1" s="1"/>
  <c r="BG10" i="1"/>
  <c r="BM10" i="1" s="1"/>
  <c r="AO10" i="1"/>
  <c r="AX10" i="1"/>
  <c r="BD10" i="1" s="1"/>
  <c r="BH10" i="1"/>
  <c r="BN10" i="1" s="1"/>
  <c r="AP10" i="1"/>
  <c r="AY10" i="1"/>
  <c r="BE10" i="1" s="1"/>
  <c r="Q14" i="15"/>
  <c r="AC13" i="15"/>
  <c r="AR13" i="15"/>
  <c r="BK14" i="15"/>
  <c r="BB14" i="15"/>
  <c r="L15" i="15"/>
  <c r="BN12" i="15"/>
  <c r="AB29" i="15"/>
  <c r="AW29" i="15"/>
  <c r="BG14" i="15"/>
  <c r="H15" i="15"/>
  <c r="AX14" i="15"/>
  <c r="BL12" i="15"/>
  <c r="BO12" i="15" s="1"/>
  <c r="AQ12" i="15"/>
  <c r="M13" i="15"/>
  <c r="BC12" i="15"/>
  <c r="U29" i="15"/>
  <c r="AA28" i="15"/>
  <c r="AV28" i="15"/>
  <c r="BA30" i="15"/>
  <c r="BD12" i="15"/>
  <c r="BD30" i="15" s="1"/>
  <c r="AW12" i="15"/>
  <c r="AW30" i="15" s="1"/>
  <c r="V13" i="15"/>
  <c r="AB12" i="15"/>
  <c r="AV12" i="15"/>
  <c r="AV30" i="15" s="1"/>
  <c r="AA12" i="15"/>
  <c r="U13" i="15"/>
  <c r="AJ12" i="15"/>
  <c r="BJ13" i="15"/>
  <c r="BM13" i="15" s="1"/>
  <c r="K14" i="15"/>
  <c r="AO13" i="15"/>
  <c r="AJ13" i="15"/>
  <c r="BA13" i="15"/>
  <c r="BD13" i="15" s="1"/>
  <c r="AK13" i="15"/>
  <c r="S13" i="15"/>
  <c r="AE12" i="15"/>
  <c r="AT12" i="15"/>
  <c r="AT30" i="15" s="1"/>
  <c r="I13" i="15"/>
  <c r="AY12" i="15"/>
  <c r="BE12" i="15" s="1"/>
  <c r="BE30" i="15" s="1"/>
  <c r="BH12" i="15"/>
  <c r="AH12" i="15"/>
  <c r="AP12" i="15"/>
  <c r="AF12" i="15"/>
  <c r="AG12" i="15"/>
  <c r="AD13" i="15"/>
  <c r="AS13" i="15"/>
  <c r="R14" i="15"/>
  <c r="AZ13" i="15"/>
  <c r="J14" i="15"/>
  <c r="BI13" i="15"/>
  <c r="T14" i="15"/>
  <c r="Z13" i="15"/>
  <c r="AU13" i="15"/>
  <c r="AU29" i="15"/>
  <c r="Z29" i="15"/>
  <c r="L15" i="9"/>
  <c r="L9" i="9"/>
  <c r="L10" i="9"/>
  <c r="L11" i="9"/>
  <c r="L12" i="9"/>
  <c r="L13" i="9"/>
  <c r="L14" i="9"/>
  <c r="L8" i="9"/>
  <c r="B14" i="20" l="1"/>
  <c r="B15" i="18"/>
  <c r="L10" i="16"/>
  <c r="H10" i="16"/>
  <c r="B11" i="16"/>
  <c r="E11" i="16" s="1"/>
  <c r="E14" i="18"/>
  <c r="E14" i="20" s="1"/>
  <c r="B15" i="20"/>
  <c r="D15" i="18"/>
  <c r="D15" i="20" s="1"/>
  <c r="G14" i="18"/>
  <c r="G14" i="20" s="1"/>
  <c r="C15" i="18"/>
  <c r="C15" i="20" s="1"/>
  <c r="F14" i="18"/>
  <c r="F14" i="20" s="1"/>
  <c r="AO11" i="1"/>
  <c r="BG11" i="1"/>
  <c r="BM11" i="1" s="1"/>
  <c r="AX11" i="1"/>
  <c r="BD11" i="1" s="1"/>
  <c r="AP11" i="1"/>
  <c r="BH11" i="1"/>
  <c r="BN11" i="1" s="1"/>
  <c r="AY11" i="1"/>
  <c r="BE11" i="1" s="1"/>
  <c r="BI11" i="1"/>
  <c r="BO11" i="1" s="1"/>
  <c r="AQ11" i="1"/>
  <c r="AZ11" i="1"/>
  <c r="BF11" i="1" s="1"/>
  <c r="AY13" i="15"/>
  <c r="BE13" i="15" s="1"/>
  <c r="I14" i="15"/>
  <c r="BH13" i="15"/>
  <c r="BN13" i="15" s="1"/>
  <c r="AH13" i="15"/>
  <c r="AG13" i="15"/>
  <c r="AP13" i="15"/>
  <c r="AF13" i="15"/>
  <c r="AT13" i="15"/>
  <c r="AE13" i="15"/>
  <c r="S14" i="15"/>
  <c r="BC30" i="15"/>
  <c r="BF12" i="15"/>
  <c r="BF30" i="15" s="1"/>
  <c r="H16" i="15"/>
  <c r="AX15" i="15"/>
  <c r="BG15" i="15"/>
  <c r="BI14" i="15"/>
  <c r="J15" i="15"/>
  <c r="AZ14" i="15"/>
  <c r="U14" i="15"/>
  <c r="AV13" i="15"/>
  <c r="AA13" i="15"/>
  <c r="V14" i="15"/>
  <c r="AW13" i="15"/>
  <c r="AB13" i="15"/>
  <c r="BC13" i="15"/>
  <c r="BF13" i="15" s="1"/>
  <c r="M14" i="15"/>
  <c r="BL13" i="15"/>
  <c r="BO13" i="15" s="1"/>
  <c r="AQ13" i="15"/>
  <c r="K15" i="15"/>
  <c r="AI14" i="15"/>
  <c r="AO14" i="15"/>
  <c r="AJ14" i="15"/>
  <c r="BJ14" i="15"/>
  <c r="BM14" i="15" s="1"/>
  <c r="BA14" i="15"/>
  <c r="BD14" i="15" s="1"/>
  <c r="AK14" i="15"/>
  <c r="L16" i="15"/>
  <c r="BB15" i="15"/>
  <c r="T15" i="15"/>
  <c r="AU14" i="15"/>
  <c r="Z14" i="15"/>
  <c r="AD14" i="15"/>
  <c r="AS14" i="15"/>
  <c r="R15" i="15"/>
  <c r="BK15" i="15" s="1"/>
  <c r="AI13" i="15"/>
  <c r="AV29" i="15"/>
  <c r="AA29" i="15"/>
  <c r="Q15" i="15"/>
  <c r="AC14" i="15"/>
  <c r="AR14" i="15"/>
  <c r="Y7" i="12"/>
  <c r="Z7" i="12"/>
  <c r="Y8" i="12"/>
  <c r="Z8" i="12"/>
  <c r="Y9" i="12"/>
  <c r="Z9" i="12"/>
  <c r="Y10" i="12"/>
  <c r="Z10" i="12"/>
  <c r="Y11" i="12"/>
  <c r="Z11" i="12"/>
  <c r="Y12" i="12"/>
  <c r="Z12" i="12"/>
  <c r="Y13" i="12"/>
  <c r="Z13" i="12"/>
  <c r="Y14" i="12"/>
  <c r="Z14" i="12"/>
  <c r="Y15" i="12"/>
  <c r="Z15" i="12"/>
  <c r="Y16" i="12"/>
  <c r="Z16" i="12"/>
  <c r="Y17" i="12"/>
  <c r="Z17" i="12"/>
  <c r="Y18" i="12"/>
  <c r="Z18" i="12"/>
  <c r="Y19" i="12"/>
  <c r="Z19" i="12"/>
  <c r="Y20" i="12"/>
  <c r="Z20" i="12"/>
  <c r="Y21" i="12"/>
  <c r="Z21" i="12"/>
  <c r="Y22" i="12"/>
  <c r="Z22" i="12"/>
  <c r="Y23" i="12"/>
  <c r="Z23" i="12"/>
  <c r="Y24" i="12"/>
  <c r="Z24" i="12"/>
  <c r="Y25" i="12"/>
  <c r="Z25" i="12"/>
  <c r="Y26" i="12"/>
  <c r="Z26" i="12"/>
  <c r="Y27" i="12"/>
  <c r="Z27" i="12"/>
  <c r="Y28" i="12"/>
  <c r="Z28" i="12"/>
  <c r="Y29" i="12"/>
  <c r="Z29" i="12"/>
  <c r="Y30" i="12"/>
  <c r="Z30" i="12"/>
  <c r="Y31" i="12"/>
  <c r="Z31" i="12"/>
  <c r="Y32" i="12"/>
  <c r="Z32" i="12"/>
  <c r="Y33" i="12"/>
  <c r="Z33" i="12"/>
  <c r="Y34" i="12"/>
  <c r="Z34" i="12"/>
  <c r="Y35" i="12"/>
  <c r="Z35" i="12"/>
  <c r="Y36" i="12"/>
  <c r="Z36" i="12"/>
  <c r="Y37" i="12"/>
  <c r="Z37" i="12"/>
  <c r="Y38" i="12"/>
  <c r="Z38" i="12"/>
  <c r="Y39" i="12"/>
  <c r="Z39" i="12"/>
  <c r="Y40" i="12"/>
  <c r="Z40" i="12"/>
  <c r="Y41" i="12"/>
  <c r="Z41" i="12"/>
  <c r="Y42" i="12"/>
  <c r="Z42" i="12"/>
  <c r="Y43" i="12"/>
  <c r="Z43" i="12"/>
  <c r="Y44" i="12"/>
  <c r="Z44" i="12"/>
  <c r="Y45" i="12"/>
  <c r="Z45" i="12"/>
  <c r="Y46" i="12"/>
  <c r="Z46" i="12"/>
  <c r="Y47" i="12"/>
  <c r="Z47" i="12"/>
  <c r="Y48" i="12"/>
  <c r="Z48" i="12"/>
  <c r="Z6" i="12"/>
  <c r="Y6" i="12"/>
  <c r="B16" i="18" l="1"/>
  <c r="B16" i="20" s="1"/>
  <c r="E15" i="18"/>
  <c r="E15" i="20" s="1"/>
  <c r="G15" i="18"/>
  <c r="G15" i="20" s="1"/>
  <c r="D16" i="18"/>
  <c r="D16" i="20" s="1"/>
  <c r="H11" i="16"/>
  <c r="L11" i="16"/>
  <c r="C16" i="18"/>
  <c r="C16" i="20" s="1"/>
  <c r="F15" i="18"/>
  <c r="F15" i="20" s="1"/>
  <c r="B12" i="16"/>
  <c r="E12" i="16" s="1"/>
  <c r="BI12" i="1"/>
  <c r="BO12" i="1" s="1"/>
  <c r="AQ12" i="1"/>
  <c r="AZ12" i="1"/>
  <c r="BF12" i="1" s="1"/>
  <c r="AP12" i="1"/>
  <c r="BH12" i="1"/>
  <c r="BN12" i="1" s="1"/>
  <c r="AY12" i="1"/>
  <c r="BE12" i="1" s="1"/>
  <c r="BG12" i="1"/>
  <c r="BM12" i="1" s="1"/>
  <c r="AO12" i="1"/>
  <c r="AX12" i="1"/>
  <c r="BD12" i="1" s="1"/>
  <c r="BB16" i="15"/>
  <c r="L17" i="15"/>
  <c r="AA14" i="15"/>
  <c r="U15" i="15"/>
  <c r="AV14" i="15"/>
  <c r="AR15" i="15"/>
  <c r="Q16" i="15"/>
  <c r="AC15" i="15"/>
  <c r="BL14" i="15"/>
  <c r="BO14" i="15" s="1"/>
  <c r="BC14" i="15"/>
  <c r="BF14" i="15" s="1"/>
  <c r="AQ14" i="15"/>
  <c r="M15" i="15"/>
  <c r="V15" i="15"/>
  <c r="AW14" i="15"/>
  <c r="AB14" i="15"/>
  <c r="S15" i="15"/>
  <c r="AE14" i="15"/>
  <c r="AT14" i="15"/>
  <c r="I15" i="15"/>
  <c r="AY14" i="15"/>
  <c r="BE14" i="15" s="1"/>
  <c r="BH14" i="15"/>
  <c r="BN14" i="15" s="1"/>
  <c r="AH14" i="15"/>
  <c r="AP14" i="15"/>
  <c r="AG14" i="15"/>
  <c r="AF14" i="15"/>
  <c r="T16" i="15"/>
  <c r="Z15" i="15"/>
  <c r="AU15" i="15"/>
  <c r="AD15" i="15"/>
  <c r="R16" i="15"/>
  <c r="AS15" i="15"/>
  <c r="BJ15" i="15"/>
  <c r="BM15" i="15" s="1"/>
  <c r="AO15" i="15"/>
  <c r="BA15" i="15"/>
  <c r="BD15" i="15" s="1"/>
  <c r="K16" i="15"/>
  <c r="AK15" i="15"/>
  <c r="BI15" i="15"/>
  <c r="AZ15" i="15"/>
  <c r="J16" i="15"/>
  <c r="BG16" i="15"/>
  <c r="H17" i="15"/>
  <c r="AX16" i="15"/>
  <c r="AC7" i="12"/>
  <c r="X37" i="12"/>
  <c r="E16" i="18" l="1"/>
  <c r="E16" i="20" s="1"/>
  <c r="B17" i="18"/>
  <c r="B17" i="20" s="1"/>
  <c r="L12" i="16"/>
  <c r="H12" i="16"/>
  <c r="C17" i="18"/>
  <c r="C17" i="20" s="1"/>
  <c r="F16" i="18"/>
  <c r="F16" i="20" s="1"/>
  <c r="G16" i="18"/>
  <c r="G16" i="20" s="1"/>
  <c r="D17" i="18"/>
  <c r="D17" i="20" s="1"/>
  <c r="B13" i="16"/>
  <c r="E13" i="16" s="1"/>
  <c r="AQ13" i="1"/>
  <c r="BI13" i="1"/>
  <c r="BO13" i="1" s="1"/>
  <c r="AZ13" i="1"/>
  <c r="BF13" i="1" s="1"/>
  <c r="BG13" i="1"/>
  <c r="BM13" i="1" s="1"/>
  <c r="AO13" i="1"/>
  <c r="AX13" i="1"/>
  <c r="BD13" i="1" s="1"/>
  <c r="BH13" i="1"/>
  <c r="BN13" i="1" s="1"/>
  <c r="AP13" i="1"/>
  <c r="AY13" i="1"/>
  <c r="BE13" i="1" s="1"/>
  <c r="BI16" i="15"/>
  <c r="AZ16" i="15"/>
  <c r="J17" i="15"/>
  <c r="R17" i="15"/>
  <c r="AS16" i="15"/>
  <c r="AD16" i="15"/>
  <c r="AU16" i="15"/>
  <c r="T17" i="15"/>
  <c r="Z16" i="15"/>
  <c r="BA16" i="15"/>
  <c r="BD16" i="15" s="1"/>
  <c r="K17" i="15"/>
  <c r="AK16" i="15"/>
  <c r="BJ16" i="15"/>
  <c r="BM16" i="15" s="1"/>
  <c r="AO16" i="15"/>
  <c r="AW15" i="15"/>
  <c r="AB15" i="15"/>
  <c r="V16" i="15"/>
  <c r="L18" i="15"/>
  <c r="BB17" i="15"/>
  <c r="BG17" i="15"/>
  <c r="AX17" i="15"/>
  <c r="H18" i="15"/>
  <c r="AT15" i="15"/>
  <c r="S16" i="15"/>
  <c r="AE15" i="15"/>
  <c r="BC15" i="15"/>
  <c r="BF15" i="15" s="1"/>
  <c r="M16" i="15"/>
  <c r="BL15" i="15"/>
  <c r="BO15" i="15" s="1"/>
  <c r="AQ15" i="15"/>
  <c r="AV15" i="15"/>
  <c r="AA15" i="15"/>
  <c r="U16" i="15"/>
  <c r="AJ15" i="15"/>
  <c r="AI15" i="15"/>
  <c r="I16" i="15"/>
  <c r="BH15" i="15"/>
  <c r="BN15" i="15" s="1"/>
  <c r="AY15" i="15"/>
  <c r="BE15" i="15" s="1"/>
  <c r="AF15" i="15"/>
  <c r="AP15" i="15"/>
  <c r="AH15" i="15"/>
  <c r="AG15" i="15"/>
  <c r="Q17" i="15"/>
  <c r="AR16" i="15"/>
  <c r="AC16" i="15"/>
  <c r="BK16" i="15"/>
  <c r="X12" i="12"/>
  <c r="X22" i="12"/>
  <c r="X27" i="12"/>
  <c r="X15" i="12"/>
  <c r="X35" i="12"/>
  <c r="X8" i="12"/>
  <c r="X18" i="12"/>
  <c r="X28" i="12"/>
  <c r="X38" i="12"/>
  <c r="X11" i="12"/>
  <c r="X21" i="12"/>
  <c r="X31" i="12"/>
  <c r="X9" i="12"/>
  <c r="X16" i="12"/>
  <c r="X24" i="12"/>
  <c r="X32" i="12"/>
  <c r="X39" i="12"/>
  <c r="X10" i="12"/>
  <c r="X13" i="12"/>
  <c r="X19" i="12"/>
  <c r="X25" i="12"/>
  <c r="X29" i="12"/>
  <c r="X33" i="12"/>
  <c r="X36" i="12"/>
  <c r="X40" i="12"/>
  <c r="X14" i="12"/>
  <c r="X17" i="12"/>
  <c r="X20" i="12"/>
  <c r="X23" i="12"/>
  <c r="X26" i="12"/>
  <c r="X30" i="12"/>
  <c r="X34" i="12"/>
  <c r="X7" i="12"/>
  <c r="X6" i="12"/>
  <c r="X41" i="12"/>
  <c r="X42" i="12"/>
  <c r="X43" i="12"/>
  <c r="X44" i="12"/>
  <c r="X45" i="12"/>
  <c r="X46" i="12"/>
  <c r="X47" i="12"/>
  <c r="X48" i="12"/>
  <c r="B14" i="16" l="1"/>
  <c r="E14" i="16" s="1"/>
  <c r="H13" i="16"/>
  <c r="L13" i="16"/>
  <c r="G17" i="18"/>
  <c r="G17" i="20" s="1"/>
  <c r="D18" i="18"/>
  <c r="D18" i="20" s="1"/>
  <c r="E17" i="18"/>
  <c r="E17" i="20" s="1"/>
  <c r="B18" i="18"/>
  <c r="B18" i="20" s="1"/>
  <c r="F17" i="18"/>
  <c r="F17" i="20" s="1"/>
  <c r="C18" i="18"/>
  <c r="C18" i="20" s="1"/>
  <c r="BI14" i="1"/>
  <c r="BO14" i="1" s="1"/>
  <c r="AQ14" i="1"/>
  <c r="AZ14" i="1"/>
  <c r="BF14" i="1" s="1"/>
  <c r="BH14" i="1"/>
  <c r="BN14" i="1" s="1"/>
  <c r="AP14" i="1"/>
  <c r="AY14" i="1"/>
  <c r="BE14" i="1" s="1"/>
  <c r="BG14" i="1"/>
  <c r="BM14" i="1" s="1"/>
  <c r="AO14" i="1"/>
  <c r="AX14" i="1"/>
  <c r="BD14" i="1" s="1"/>
  <c r="H19" i="15"/>
  <c r="AX18" i="15"/>
  <c r="BG18" i="15"/>
  <c r="L19" i="15"/>
  <c r="BB18" i="15"/>
  <c r="AJ17" i="15"/>
  <c r="K18" i="15"/>
  <c r="BA17" i="15"/>
  <c r="BD17" i="15" s="1"/>
  <c r="BJ17" i="15"/>
  <c r="BM17" i="15" s="1"/>
  <c r="AO17" i="15"/>
  <c r="AI17" i="15"/>
  <c r="AU17" i="15"/>
  <c r="T18" i="15"/>
  <c r="Z17" i="15"/>
  <c r="R18" i="15"/>
  <c r="AD17" i="15"/>
  <c r="AS17" i="15"/>
  <c r="I17" i="15"/>
  <c r="AY16" i="15"/>
  <c r="BE16" i="15" s="1"/>
  <c r="BH16" i="15"/>
  <c r="AH16" i="15"/>
  <c r="AG16" i="15"/>
  <c r="AP16" i="15"/>
  <c r="AF16" i="15"/>
  <c r="U17" i="15"/>
  <c r="AA16" i="15"/>
  <c r="AV16" i="15"/>
  <c r="AE16" i="15"/>
  <c r="S17" i="15"/>
  <c r="AT16" i="15"/>
  <c r="AW16" i="15"/>
  <c r="AB16" i="15"/>
  <c r="V17" i="15"/>
  <c r="J18" i="15"/>
  <c r="AZ17" i="15"/>
  <c r="BI17" i="15"/>
  <c r="AR17" i="15"/>
  <c r="Q18" i="15"/>
  <c r="AC17" i="15"/>
  <c r="M17" i="15"/>
  <c r="BC16" i="15"/>
  <c r="BF16" i="15" s="1"/>
  <c r="AQ16" i="15"/>
  <c r="BL16" i="15"/>
  <c r="BO16" i="15" s="1"/>
  <c r="BK17" i="15"/>
  <c r="AJ16" i="15"/>
  <c r="AI16" i="15"/>
  <c r="BN16" i="15"/>
  <c r="X49" i="12"/>
  <c r="E18" i="18" l="1"/>
  <c r="E18" i="20" s="1"/>
  <c r="B19" i="18"/>
  <c r="B19" i="20" s="1"/>
  <c r="L14" i="16"/>
  <c r="H14" i="16"/>
  <c r="C19" i="18"/>
  <c r="F18" i="18"/>
  <c r="F18" i="20" s="1"/>
  <c r="B15" i="16"/>
  <c r="E15" i="16" s="1"/>
  <c r="G18" i="18"/>
  <c r="G18" i="20" s="1"/>
  <c r="D19" i="18"/>
  <c r="D19" i="20" s="1"/>
  <c r="BG15" i="1"/>
  <c r="BM15" i="1" s="1"/>
  <c r="AO15" i="1"/>
  <c r="AX15" i="1"/>
  <c r="BD15" i="1" s="1"/>
  <c r="BH15" i="1"/>
  <c r="BN15" i="1" s="1"/>
  <c r="AP15" i="1"/>
  <c r="AY15" i="1"/>
  <c r="BE15" i="1" s="1"/>
  <c r="AQ15" i="1"/>
  <c r="BI15" i="1"/>
  <c r="BO15" i="1" s="1"/>
  <c r="AZ15" i="1"/>
  <c r="BF15" i="1" s="1"/>
  <c r="AS18" i="15"/>
  <c r="R19" i="15"/>
  <c r="AD18" i="15"/>
  <c r="L20" i="15"/>
  <c r="BB19" i="15"/>
  <c r="BK19" i="15"/>
  <c r="AC18" i="15"/>
  <c r="Q19" i="15"/>
  <c r="AR18" i="15"/>
  <c r="BI18" i="15"/>
  <c r="AZ18" i="15"/>
  <c r="J19" i="15"/>
  <c r="BH17" i="15"/>
  <c r="AY17" i="15"/>
  <c r="BE17" i="15" s="1"/>
  <c r="I18" i="15"/>
  <c r="AH17" i="15"/>
  <c r="AG17" i="15"/>
  <c r="AP17" i="15"/>
  <c r="AF17" i="15"/>
  <c r="K19" i="15"/>
  <c r="BA18" i="15"/>
  <c r="BD18" i="15" s="1"/>
  <c r="AO18" i="15"/>
  <c r="AJ18" i="15"/>
  <c r="BJ18" i="15"/>
  <c r="BM18" i="15" s="1"/>
  <c r="V18" i="15"/>
  <c r="AB17" i="15"/>
  <c r="AW17" i="15"/>
  <c r="AE17" i="15"/>
  <c r="AT17" i="15"/>
  <c r="S18" i="15"/>
  <c r="AV17" i="15"/>
  <c r="AA17" i="15"/>
  <c r="U18" i="15"/>
  <c r="AU18" i="15"/>
  <c r="Z18" i="15"/>
  <c r="T19" i="15"/>
  <c r="BK18" i="15"/>
  <c r="BN17" i="15"/>
  <c r="BL17" i="15"/>
  <c r="BO17" i="15" s="1"/>
  <c r="AQ17" i="15"/>
  <c r="M18" i="15"/>
  <c r="BC17" i="15"/>
  <c r="BF17" i="15" s="1"/>
  <c r="AK17" i="15"/>
  <c r="H20" i="15"/>
  <c r="AX19" i="15"/>
  <c r="BG19" i="15"/>
  <c r="E29" i="4"/>
  <c r="D29" i="4"/>
  <c r="D15" i="4"/>
  <c r="D30" i="4"/>
  <c r="C19" i="20" l="1"/>
  <c r="F19" i="18"/>
  <c r="F19" i="20" s="1"/>
  <c r="L15" i="16"/>
  <c r="H15" i="16"/>
  <c r="G19" i="18"/>
  <c r="G19" i="20" s="1"/>
  <c r="D20" i="18"/>
  <c r="D20" i="20" s="1"/>
  <c r="E19" i="18"/>
  <c r="E19" i="20" s="1"/>
  <c r="B20" i="18"/>
  <c r="B20" i="20" s="1"/>
  <c r="C20" i="18"/>
  <c r="C20" i="20" s="1"/>
  <c r="B16" i="16"/>
  <c r="E16" i="16" s="1"/>
  <c r="BH16" i="1"/>
  <c r="BN16" i="1" s="1"/>
  <c r="AP16" i="1"/>
  <c r="AY16" i="1"/>
  <c r="BE16" i="1" s="1"/>
  <c r="BI16" i="1"/>
  <c r="BO16" i="1" s="1"/>
  <c r="AQ16" i="1"/>
  <c r="AZ16" i="1"/>
  <c r="BF16" i="1" s="1"/>
  <c r="BG16" i="1"/>
  <c r="BM16" i="1" s="1"/>
  <c r="AO16" i="1"/>
  <c r="AX16" i="1"/>
  <c r="BD16" i="1" s="1"/>
  <c r="S19" i="15"/>
  <c r="AE18" i="15"/>
  <c r="AT18" i="15"/>
  <c r="BJ19" i="15"/>
  <c r="BM19" i="15" s="1"/>
  <c r="BA19" i="15"/>
  <c r="BD19" i="15" s="1"/>
  <c r="K20" i="15"/>
  <c r="AO19" i="15"/>
  <c r="AJ19" i="15"/>
  <c r="AZ19" i="15"/>
  <c r="J20" i="15"/>
  <c r="BI19" i="15"/>
  <c r="Q20" i="15"/>
  <c r="AR19" i="15"/>
  <c r="AC19" i="15"/>
  <c r="BG20" i="15"/>
  <c r="H21" i="15"/>
  <c r="AX20" i="15"/>
  <c r="M19" i="15"/>
  <c r="BC18" i="15"/>
  <c r="BF18" i="15" s="1"/>
  <c r="BL18" i="15"/>
  <c r="BO18" i="15" s="1"/>
  <c r="AQ18" i="15"/>
  <c r="U19" i="15"/>
  <c r="AV18" i="15"/>
  <c r="AA18" i="15"/>
  <c r="AW18" i="15"/>
  <c r="V19" i="15"/>
  <c r="AB18" i="15"/>
  <c r="AK18" i="15"/>
  <c r="AY18" i="15"/>
  <c r="BE18" i="15" s="1"/>
  <c r="BH18" i="15"/>
  <c r="BN18" i="15" s="1"/>
  <c r="I19" i="15"/>
  <c r="AF18" i="15"/>
  <c r="AP18" i="15"/>
  <c r="AG18" i="15"/>
  <c r="AH18" i="15"/>
  <c r="L21" i="15"/>
  <c r="BB20" i="15"/>
  <c r="T20" i="15"/>
  <c r="Z19" i="15"/>
  <c r="AU19" i="15"/>
  <c r="AI18" i="15"/>
  <c r="AD19" i="15"/>
  <c r="R20" i="15"/>
  <c r="BK20" i="15" s="1"/>
  <c r="AS19" i="15"/>
  <c r="AJ1" i="6"/>
  <c r="L16" i="16" l="1"/>
  <c r="H16" i="16"/>
  <c r="E20" i="18"/>
  <c r="E20" i="20" s="1"/>
  <c r="B21" i="18"/>
  <c r="B21" i="20" s="1"/>
  <c r="D21" i="18"/>
  <c r="D21" i="20" s="1"/>
  <c r="G20" i="18"/>
  <c r="G20" i="20" s="1"/>
  <c r="C21" i="18"/>
  <c r="C21" i="20" s="1"/>
  <c r="F20" i="18"/>
  <c r="F20" i="20" s="1"/>
  <c r="B17" i="16"/>
  <c r="E17" i="16" s="1"/>
  <c r="BI17" i="1"/>
  <c r="BO17" i="1" s="1"/>
  <c r="AQ17" i="1"/>
  <c r="AZ17" i="1"/>
  <c r="BF17" i="1" s="1"/>
  <c r="AO17" i="1"/>
  <c r="BG17" i="1"/>
  <c r="BM17" i="1" s="1"/>
  <c r="AX17" i="1"/>
  <c r="BD17" i="1" s="1"/>
  <c r="BH17" i="1"/>
  <c r="BN17" i="1" s="1"/>
  <c r="AP17" i="1"/>
  <c r="AY17" i="1"/>
  <c r="BE17" i="1" s="1"/>
  <c r="AV19" i="15"/>
  <c r="AA19" i="15"/>
  <c r="U20" i="15"/>
  <c r="L22" i="15"/>
  <c r="BB21" i="15"/>
  <c r="M20" i="15"/>
  <c r="BL19" i="15"/>
  <c r="BO19" i="15" s="1"/>
  <c r="AQ19" i="15"/>
  <c r="BC19" i="15"/>
  <c r="BF19" i="15" s="1"/>
  <c r="AZ20" i="15"/>
  <c r="J21" i="15"/>
  <c r="BI20" i="15"/>
  <c r="AU20" i="15"/>
  <c r="Z20" i="15"/>
  <c r="BA20" i="15"/>
  <c r="BD20" i="15" s="1"/>
  <c r="K21" i="15"/>
  <c r="BJ20" i="15"/>
  <c r="BM20" i="15" s="1"/>
  <c r="AO20" i="15"/>
  <c r="I20" i="15"/>
  <c r="AY19" i="15"/>
  <c r="BE19" i="15" s="1"/>
  <c r="BH19" i="15"/>
  <c r="BN19" i="15" s="1"/>
  <c r="AP19" i="15"/>
  <c r="AH19" i="15"/>
  <c r="AF19" i="15"/>
  <c r="AG19" i="15"/>
  <c r="Q21" i="15"/>
  <c r="AR20" i="15"/>
  <c r="AC20" i="15"/>
  <c r="AI19" i="15"/>
  <c r="AK19" i="15"/>
  <c r="R21" i="15"/>
  <c r="AD20" i="15"/>
  <c r="AS20" i="15"/>
  <c r="V20" i="15"/>
  <c r="AW19" i="15"/>
  <c r="AB19" i="15"/>
  <c r="BG21" i="15"/>
  <c r="H22" i="15"/>
  <c r="AX21" i="15"/>
  <c r="AT19" i="15"/>
  <c r="AE19" i="15"/>
  <c r="S20" i="15"/>
  <c r="J10" i="8"/>
  <c r="J11" i="8"/>
  <c r="J12" i="8"/>
  <c r="J13" i="8"/>
  <c r="J14" i="8"/>
  <c r="J15" i="8"/>
  <c r="J16" i="8"/>
  <c r="J17" i="8"/>
  <c r="J18" i="8"/>
  <c r="J19" i="8"/>
  <c r="J20" i="8"/>
  <c r="J21" i="8"/>
  <c r="J22" i="8"/>
  <c r="J23" i="8"/>
  <c r="J24" i="8"/>
  <c r="J25" i="8"/>
  <c r="J26" i="8"/>
  <c r="J27" i="8"/>
  <c r="J28" i="8"/>
  <c r="J29" i="8"/>
  <c r="J30" i="8"/>
  <c r="J31" i="8"/>
  <c r="J32" i="8"/>
  <c r="J33" i="8"/>
  <c r="J34" i="8"/>
  <c r="J35" i="8"/>
  <c r="J9" i="8"/>
  <c r="G10" i="8"/>
  <c r="G11" i="8"/>
  <c r="G12" i="8"/>
  <c r="G13" i="8"/>
  <c r="G14" i="8"/>
  <c r="G15" i="8"/>
  <c r="G16" i="8"/>
  <c r="G17" i="8"/>
  <c r="G18" i="8"/>
  <c r="G19" i="8"/>
  <c r="G20" i="8"/>
  <c r="G21" i="8"/>
  <c r="G22" i="8"/>
  <c r="G23" i="8"/>
  <c r="G24" i="8"/>
  <c r="G25" i="8"/>
  <c r="G26" i="8"/>
  <c r="G27" i="8"/>
  <c r="G28" i="8"/>
  <c r="G29" i="8"/>
  <c r="G30" i="8"/>
  <c r="G31" i="8"/>
  <c r="G32" i="8"/>
  <c r="G33" i="8"/>
  <c r="G34" i="8"/>
  <c r="G35" i="8"/>
  <c r="O43" i="9"/>
  <c r="O41" i="9"/>
  <c r="C22" i="18" l="1"/>
  <c r="C22" i="20" s="1"/>
  <c r="F21" i="18"/>
  <c r="F21" i="20" s="1"/>
  <c r="B22" i="18"/>
  <c r="E21" i="18"/>
  <c r="E21" i="20" s="1"/>
  <c r="L17" i="16"/>
  <c r="H17" i="16"/>
  <c r="B18" i="16"/>
  <c r="E18" i="16" s="1"/>
  <c r="G21" i="18"/>
  <c r="G21" i="20" s="1"/>
  <c r="D22" i="18"/>
  <c r="D22" i="20" s="1"/>
  <c r="BH18" i="1"/>
  <c r="BN18" i="1" s="1"/>
  <c r="AP18" i="1"/>
  <c r="AY18" i="1"/>
  <c r="BE18" i="1" s="1"/>
  <c r="AO18" i="1"/>
  <c r="BG18" i="1"/>
  <c r="BM18" i="1" s="1"/>
  <c r="AX18" i="1"/>
  <c r="BD18" i="1" s="1"/>
  <c r="BI18" i="1"/>
  <c r="BO18" i="1" s="1"/>
  <c r="AQ18" i="1"/>
  <c r="AZ18" i="1"/>
  <c r="BF18" i="1" s="1"/>
  <c r="BG22" i="15"/>
  <c r="H23" i="15"/>
  <c r="AX22" i="15"/>
  <c r="AW20" i="15"/>
  <c r="AB20" i="15"/>
  <c r="AC21" i="15"/>
  <c r="AR21" i="15"/>
  <c r="Q22" i="15"/>
  <c r="AI21" i="15"/>
  <c r="BA21" i="15"/>
  <c r="BD21" i="15" s="1"/>
  <c r="BJ21" i="15"/>
  <c r="BM21" i="15" s="1"/>
  <c r="AJ21" i="15"/>
  <c r="K22" i="15"/>
  <c r="AO21" i="15"/>
  <c r="M21" i="15"/>
  <c r="BC20" i="15"/>
  <c r="BF20" i="15" s="1"/>
  <c r="AQ20" i="15"/>
  <c r="BL20" i="15"/>
  <c r="BO20" i="15" s="1"/>
  <c r="L23" i="15"/>
  <c r="BB22" i="15"/>
  <c r="AE20" i="15"/>
  <c r="AT20" i="15"/>
  <c r="S21" i="15"/>
  <c r="AJ20" i="15"/>
  <c r="AK20" i="15"/>
  <c r="AA20" i="15"/>
  <c r="AV20" i="15"/>
  <c r="AS21" i="15"/>
  <c r="R22" i="15"/>
  <c r="AD21" i="15"/>
  <c r="I21" i="15"/>
  <c r="AY20" i="15"/>
  <c r="BE20" i="15" s="1"/>
  <c r="BH20" i="15"/>
  <c r="BN20" i="15" s="1"/>
  <c r="AP20" i="15"/>
  <c r="AG20" i="15"/>
  <c r="AF20" i="15"/>
  <c r="AH20" i="15"/>
  <c r="AI20" i="15"/>
  <c r="J22" i="15"/>
  <c r="AZ21" i="15"/>
  <c r="BI21" i="15"/>
  <c r="BK21" i="15"/>
  <c r="A29" i="3"/>
  <c r="A27" i="6" s="1"/>
  <c r="I27" i="6" s="1"/>
  <c r="R27" i="6" s="1"/>
  <c r="Z27" i="6" s="1"/>
  <c r="A7" i="3"/>
  <c r="A5" i="6" s="1"/>
  <c r="I5" i="6" s="1"/>
  <c r="R5" i="6" s="1"/>
  <c r="Z5" i="6" s="1"/>
  <c r="A8" i="3"/>
  <c r="A6" i="6" s="1"/>
  <c r="I6" i="6" s="1"/>
  <c r="R6" i="6" s="1"/>
  <c r="Z6" i="6" s="1"/>
  <c r="A9" i="3"/>
  <c r="A7" i="6" s="1"/>
  <c r="I7" i="6" s="1"/>
  <c r="R7" i="6" s="1"/>
  <c r="Z7" i="6" s="1"/>
  <c r="A10" i="3"/>
  <c r="A8" i="6" s="1"/>
  <c r="I8" i="6" s="1"/>
  <c r="R8" i="6" s="1"/>
  <c r="Z8" i="6" s="1"/>
  <c r="A11" i="3"/>
  <c r="A9" i="6" s="1"/>
  <c r="I9" i="6" s="1"/>
  <c r="R9" i="6" s="1"/>
  <c r="Z9" i="6" s="1"/>
  <c r="A12" i="3"/>
  <c r="A10" i="6" s="1"/>
  <c r="I10" i="6" s="1"/>
  <c r="R10" i="6" s="1"/>
  <c r="Z10" i="6" s="1"/>
  <c r="A13" i="3"/>
  <c r="A11" i="6" s="1"/>
  <c r="I11" i="6" s="1"/>
  <c r="R11" i="6" s="1"/>
  <c r="Z11" i="6" s="1"/>
  <c r="A14" i="3"/>
  <c r="A12" i="6" s="1"/>
  <c r="I12" i="6" s="1"/>
  <c r="R12" i="6" s="1"/>
  <c r="A15" i="3"/>
  <c r="A13" i="6" s="1"/>
  <c r="I13" i="6" s="1"/>
  <c r="R13" i="6" s="1"/>
  <c r="A16" i="3"/>
  <c r="A14" i="6" s="1"/>
  <c r="I14" i="6" s="1"/>
  <c r="R14" i="6" s="1"/>
  <c r="Z14" i="6" s="1"/>
  <c r="A17" i="3"/>
  <c r="A15" i="6" s="1"/>
  <c r="I15" i="6" s="1"/>
  <c r="R15" i="6" s="1"/>
  <c r="Z15" i="6" s="1"/>
  <c r="A18" i="3"/>
  <c r="A16" i="6" s="1"/>
  <c r="I16" i="6" s="1"/>
  <c r="R16" i="6" s="1"/>
  <c r="Z16" i="6" s="1"/>
  <c r="A19" i="3"/>
  <c r="A17" i="6" s="1"/>
  <c r="I17" i="6" s="1"/>
  <c r="R17" i="6" s="1"/>
  <c r="Z17" i="6" s="1"/>
  <c r="A20" i="3"/>
  <c r="A18" i="6" s="1"/>
  <c r="I18" i="6" s="1"/>
  <c r="R18" i="6" s="1"/>
  <c r="A21" i="3"/>
  <c r="A19" i="6" s="1"/>
  <c r="I19" i="6" s="1"/>
  <c r="R19" i="6" s="1"/>
  <c r="Z19" i="6" s="1"/>
  <c r="A22" i="3"/>
  <c r="A20" i="6" s="1"/>
  <c r="I20" i="6" s="1"/>
  <c r="R20" i="6" s="1"/>
  <c r="Z20" i="6" s="1"/>
  <c r="A23" i="3"/>
  <c r="A21" i="6" s="1"/>
  <c r="I21" i="6" s="1"/>
  <c r="R21" i="6" s="1"/>
  <c r="Z21" i="6" s="1"/>
  <c r="A24" i="3"/>
  <c r="A22" i="6" s="1"/>
  <c r="I22" i="6" s="1"/>
  <c r="R22" i="6" s="1"/>
  <c r="A25" i="3"/>
  <c r="A23" i="6" s="1"/>
  <c r="I23" i="6" s="1"/>
  <c r="R23" i="6" s="1"/>
  <c r="Z23" i="6" s="1"/>
  <c r="A26" i="3"/>
  <c r="A24" i="6" s="1"/>
  <c r="I24" i="6" s="1"/>
  <c r="R24" i="6" s="1"/>
  <c r="Z24" i="6" s="1"/>
  <c r="A27" i="3"/>
  <c r="A25" i="6" s="1"/>
  <c r="I25" i="6" s="1"/>
  <c r="R25" i="6" s="1"/>
  <c r="Z25" i="6" s="1"/>
  <c r="A28" i="3"/>
  <c r="A26" i="6" s="1"/>
  <c r="I26" i="6" s="1"/>
  <c r="R26" i="6" s="1"/>
  <c r="B22" i="20" l="1"/>
  <c r="B23" i="18"/>
  <c r="B19" i="16"/>
  <c r="E19" i="16" s="1"/>
  <c r="H19" i="16" s="1"/>
  <c r="L18" i="16"/>
  <c r="H18" i="16"/>
  <c r="E22" i="18"/>
  <c r="E22" i="20" s="1"/>
  <c r="B23" i="20"/>
  <c r="D23" i="18"/>
  <c r="D23" i="20" s="1"/>
  <c r="G22" i="18"/>
  <c r="G22" i="20" s="1"/>
  <c r="C23" i="18"/>
  <c r="C23" i="20" s="1"/>
  <c r="F22" i="18"/>
  <c r="F22" i="20" s="1"/>
  <c r="AO19" i="1"/>
  <c r="BG19" i="1"/>
  <c r="BM19" i="1" s="1"/>
  <c r="AX19" i="1"/>
  <c r="BD19" i="1" s="1"/>
  <c r="BI19" i="1"/>
  <c r="BO19" i="1" s="1"/>
  <c r="AQ19" i="1"/>
  <c r="AZ19" i="1"/>
  <c r="BF19" i="1" s="1"/>
  <c r="BH19" i="1"/>
  <c r="BN19" i="1" s="1"/>
  <c r="AP19" i="1"/>
  <c r="AY19" i="1"/>
  <c r="BE19" i="1" s="1"/>
  <c r="AS22" i="15"/>
  <c r="AD22" i="15"/>
  <c r="R23" i="15"/>
  <c r="BK22" i="15"/>
  <c r="BC21" i="15"/>
  <c r="BF21" i="15" s="1"/>
  <c r="AQ21" i="15"/>
  <c r="M22" i="15"/>
  <c r="BL21" i="15"/>
  <c r="BO21" i="15" s="1"/>
  <c r="AK21" i="15"/>
  <c r="Q23" i="15"/>
  <c r="AR22" i="15"/>
  <c r="AC22" i="15"/>
  <c r="AZ22" i="15"/>
  <c r="BI22" i="15"/>
  <c r="J23" i="15"/>
  <c r="I22" i="15"/>
  <c r="AY21" i="15"/>
  <c r="BE21" i="15" s="1"/>
  <c r="BH21" i="15"/>
  <c r="AH21" i="15"/>
  <c r="AG21" i="15"/>
  <c r="AP21" i="15"/>
  <c r="AF21" i="15"/>
  <c r="H24" i="15"/>
  <c r="AX23" i="15"/>
  <c r="BG23" i="15"/>
  <c r="BN21" i="15"/>
  <c r="S22" i="15"/>
  <c r="AE21" i="15"/>
  <c r="AT21" i="15"/>
  <c r="L24" i="15"/>
  <c r="BK23" i="15"/>
  <c r="BB23" i="15"/>
  <c r="BA22" i="15"/>
  <c r="BD22" i="15" s="1"/>
  <c r="AK22" i="15"/>
  <c r="AJ22" i="15"/>
  <c r="K23" i="15"/>
  <c r="AO22" i="15"/>
  <c r="BJ22" i="15"/>
  <c r="BM22" i="15" s="1"/>
  <c r="AB26" i="6"/>
  <c r="AJ26" i="6" s="1"/>
  <c r="Z26" i="6"/>
  <c r="AB12" i="6"/>
  <c r="AJ12" i="6" s="1"/>
  <c r="Z12" i="6"/>
  <c r="AB22" i="6"/>
  <c r="AJ22" i="6" s="1"/>
  <c r="Z22" i="6"/>
  <c r="AB18" i="6"/>
  <c r="AJ18" i="6" s="1"/>
  <c r="Z18" i="6"/>
  <c r="AB13" i="6"/>
  <c r="AJ13" i="6" s="1"/>
  <c r="Z13" i="6"/>
  <c r="AB27" i="6"/>
  <c r="AJ27" i="6" s="1"/>
  <c r="AB24" i="6"/>
  <c r="AJ24" i="6" s="1"/>
  <c r="AB15" i="6"/>
  <c r="AB19" i="6"/>
  <c r="AJ19" i="6" s="1"/>
  <c r="AB11" i="6"/>
  <c r="AB23" i="6"/>
  <c r="AJ23" i="6" s="1"/>
  <c r="AB25" i="6"/>
  <c r="AJ25" i="6" s="1"/>
  <c r="AB5" i="6"/>
  <c r="AJ5" i="6" s="1"/>
  <c r="AB10" i="6"/>
  <c r="AJ10" i="6" s="1"/>
  <c r="AB9" i="6"/>
  <c r="AJ9" i="6" s="1"/>
  <c r="AB8" i="6"/>
  <c r="AJ8" i="6" s="1"/>
  <c r="AB21" i="6"/>
  <c r="AJ21" i="6" s="1"/>
  <c r="AB20" i="6"/>
  <c r="AJ20" i="6" s="1"/>
  <c r="AB17" i="6"/>
  <c r="AJ17" i="6" s="1"/>
  <c r="AB16" i="6"/>
  <c r="AJ16" i="6" s="1"/>
  <c r="AB14" i="6"/>
  <c r="AJ14" i="6" s="1"/>
  <c r="AB7" i="6"/>
  <c r="AJ7" i="6" s="1"/>
  <c r="AB6" i="6"/>
  <c r="AJ6" i="6" s="1"/>
  <c r="L19" i="16" l="1"/>
  <c r="G23" i="18"/>
  <c r="G23" i="20" s="1"/>
  <c r="D24" i="18"/>
  <c r="D24" i="20" s="1"/>
  <c r="C24" i="18"/>
  <c r="C24" i="20" s="1"/>
  <c r="F23" i="18"/>
  <c r="F23" i="20" s="1"/>
  <c r="B20" i="16"/>
  <c r="E20" i="16" s="1"/>
  <c r="B24" i="18"/>
  <c r="B24" i="20" s="1"/>
  <c r="E23" i="18"/>
  <c r="E23" i="20" s="1"/>
  <c r="BG20" i="1"/>
  <c r="BM20" i="1" s="1"/>
  <c r="AO20" i="1"/>
  <c r="AX20" i="1"/>
  <c r="BD20" i="1" s="1"/>
  <c r="BH20" i="1"/>
  <c r="BN20" i="1" s="1"/>
  <c r="AP20" i="1"/>
  <c r="AY20" i="1"/>
  <c r="BE20" i="1" s="1"/>
  <c r="AQ20" i="1"/>
  <c r="BI20" i="1"/>
  <c r="BO20" i="1" s="1"/>
  <c r="AZ20" i="1"/>
  <c r="BF20" i="1" s="1"/>
  <c r="BG24" i="15"/>
  <c r="AX24" i="15"/>
  <c r="I23" i="15"/>
  <c r="AY22" i="15"/>
  <c r="BE22" i="15" s="1"/>
  <c r="BH22" i="15"/>
  <c r="AG22" i="15"/>
  <c r="AP22" i="15"/>
  <c r="AH22" i="15"/>
  <c r="AF22" i="15"/>
  <c r="BN22" i="15"/>
  <c r="AE22" i="15"/>
  <c r="S23" i="15"/>
  <c r="AT22" i="15"/>
  <c r="J24" i="15"/>
  <c r="AZ23" i="15"/>
  <c r="BI23" i="15"/>
  <c r="M23" i="15"/>
  <c r="AJ23" i="15" s="1"/>
  <c r="BC22" i="15"/>
  <c r="BF22" i="15" s="1"/>
  <c r="AQ22" i="15"/>
  <c r="BL22" i="15"/>
  <c r="BO22" i="15" s="1"/>
  <c r="R24" i="15"/>
  <c r="AS23" i="15"/>
  <c r="AD23" i="15"/>
  <c r="K24" i="15"/>
  <c r="AK23" i="15"/>
  <c r="BJ23" i="15"/>
  <c r="BM23" i="15" s="1"/>
  <c r="AO23" i="15"/>
  <c r="BA23" i="15"/>
  <c r="BD23" i="15" s="1"/>
  <c r="AI23" i="15"/>
  <c r="AI22" i="15"/>
  <c r="BB24" i="15"/>
  <c r="BK24" i="15"/>
  <c r="AR23" i="15"/>
  <c r="Q24" i="15"/>
  <c r="AC23" i="15"/>
  <c r="AJ15" i="6"/>
  <c r="AJ11" i="6"/>
  <c r="C25" i="18" l="1"/>
  <c r="C25" i="20" s="1"/>
  <c r="F24" i="18"/>
  <c r="F24" i="20" s="1"/>
  <c r="E24" i="18"/>
  <c r="E24" i="20" s="1"/>
  <c r="B25" i="18"/>
  <c r="B25" i="20" s="1"/>
  <c r="H20" i="16"/>
  <c r="L20" i="16"/>
  <c r="G24" i="18"/>
  <c r="G24" i="20" s="1"/>
  <c r="D25" i="18"/>
  <c r="D25" i="20" s="1"/>
  <c r="B21" i="16"/>
  <c r="E21" i="16" s="1"/>
  <c r="BH21" i="1"/>
  <c r="BN21" i="1" s="1"/>
  <c r="AP21" i="1"/>
  <c r="AY21" i="1"/>
  <c r="BE21" i="1" s="1"/>
  <c r="BI21" i="1"/>
  <c r="BO21" i="1" s="1"/>
  <c r="AQ21" i="1"/>
  <c r="AZ21" i="1"/>
  <c r="BF21" i="1" s="1"/>
  <c r="BG21" i="1"/>
  <c r="BM21" i="1" s="1"/>
  <c r="AO21" i="1"/>
  <c r="AX21" i="1"/>
  <c r="BD21" i="1" s="1"/>
  <c r="BA24" i="15"/>
  <c r="BD24" i="15" s="1"/>
  <c r="AO24" i="15"/>
  <c r="BJ24" i="15"/>
  <c r="BM24" i="15" s="1"/>
  <c r="BI24" i="15"/>
  <c r="AZ24" i="15"/>
  <c r="BH23" i="15"/>
  <c r="BN23" i="15" s="1"/>
  <c r="I24" i="15"/>
  <c r="AY23" i="15"/>
  <c r="BE23" i="15" s="1"/>
  <c r="AF23" i="15"/>
  <c r="AG23" i="15"/>
  <c r="AH23" i="15"/>
  <c r="AP23" i="15"/>
  <c r="AS24" i="15"/>
  <c r="AD24" i="15"/>
  <c r="BL23" i="15"/>
  <c r="BO23" i="15" s="1"/>
  <c r="M24" i="15"/>
  <c r="BC23" i="15"/>
  <c r="BF23" i="15" s="1"/>
  <c r="AQ23" i="15"/>
  <c r="AC24" i="15"/>
  <c r="AR24" i="15"/>
  <c r="S24" i="15"/>
  <c r="AE23" i="15"/>
  <c r="AT23" i="15"/>
  <c r="E30" i="4"/>
  <c r="E31" i="4"/>
  <c r="D31" i="4"/>
  <c r="F25" i="18" l="1"/>
  <c r="F25" i="20" s="1"/>
  <c r="C26" i="18"/>
  <c r="C26" i="20" s="1"/>
  <c r="H21" i="16"/>
  <c r="L21" i="16"/>
  <c r="B22" i="16"/>
  <c r="E22" i="16" s="1"/>
  <c r="G25" i="18"/>
  <c r="G25" i="20" s="1"/>
  <c r="D26" i="18"/>
  <c r="D26" i="20" s="1"/>
  <c r="B26" i="18"/>
  <c r="B26" i="20" s="1"/>
  <c r="E25" i="18"/>
  <c r="E25" i="20" s="1"/>
  <c r="BG22" i="1"/>
  <c r="BM22" i="1" s="1"/>
  <c r="AO22" i="1"/>
  <c r="AX22" i="1"/>
  <c r="BD22" i="1" s="1"/>
  <c r="BI22" i="1"/>
  <c r="BO22" i="1" s="1"/>
  <c r="AQ22" i="1"/>
  <c r="AZ22" i="1"/>
  <c r="BF22" i="1" s="1"/>
  <c r="AP22" i="1"/>
  <c r="BH22" i="1"/>
  <c r="BN22" i="1" s="1"/>
  <c r="AY22" i="1"/>
  <c r="BE22" i="1" s="1"/>
  <c r="BL24" i="15"/>
  <c r="BO24" i="15" s="1"/>
  <c r="AQ24" i="15"/>
  <c r="BC24" i="15"/>
  <c r="BF24" i="15" s="1"/>
  <c r="AI24" i="15"/>
  <c r="BH24" i="15"/>
  <c r="BN24" i="15" s="1"/>
  <c r="AY24" i="15"/>
  <c r="BE24" i="15" s="1"/>
  <c r="AH24" i="15"/>
  <c r="AP24" i="15"/>
  <c r="AF24" i="15"/>
  <c r="AG24" i="15"/>
  <c r="AK24" i="15"/>
  <c r="AE24" i="15"/>
  <c r="AT24" i="15"/>
  <c r="AJ24" i="15"/>
  <c r="D14" i="4"/>
  <c r="D13" i="4"/>
  <c r="G26" i="18" l="1"/>
  <c r="G26" i="20" s="1"/>
  <c r="D27" i="18"/>
  <c r="D27" i="20" s="1"/>
  <c r="E26" i="18"/>
  <c r="E26" i="20" s="1"/>
  <c r="B27" i="18"/>
  <c r="B27" i="20" s="1"/>
  <c r="C27" i="18"/>
  <c r="C27" i="20" s="1"/>
  <c r="F26" i="18"/>
  <c r="F26" i="20" s="1"/>
  <c r="B23" i="16"/>
  <c r="E23" i="16" s="1"/>
  <c r="H22" i="16"/>
  <c r="L22" i="16"/>
  <c r="AO23" i="1"/>
  <c r="BG23" i="1"/>
  <c r="BM23" i="1" s="1"/>
  <c r="AX23" i="1"/>
  <c r="BD23" i="1" s="1"/>
  <c r="BH23" i="1"/>
  <c r="BN23" i="1" s="1"/>
  <c r="AP23" i="1"/>
  <c r="AY23" i="1"/>
  <c r="BE23" i="1" s="1"/>
  <c r="BI23" i="1"/>
  <c r="BO23" i="1" s="1"/>
  <c r="AQ23" i="1"/>
  <c r="AZ23" i="1"/>
  <c r="BF23" i="1" s="1"/>
  <c r="L41" i="9"/>
  <c r="L42" i="9"/>
  <c r="L43" i="9"/>
  <c r="L44" i="9"/>
  <c r="I7" i="5"/>
  <c r="J7" i="5"/>
  <c r="I8" i="5"/>
  <c r="J8" i="5"/>
  <c r="I9" i="5"/>
  <c r="J9" i="5"/>
  <c r="H7" i="5"/>
  <c r="D45" i="4"/>
  <c r="H8" i="5"/>
  <c r="H9" i="5"/>
  <c r="E27" i="18" l="1"/>
  <c r="E27" i="20" s="1"/>
  <c r="B28" i="18"/>
  <c r="B28" i="20" s="1"/>
  <c r="C28" i="18"/>
  <c r="C28" i="20" s="1"/>
  <c r="F27" i="18"/>
  <c r="F27" i="20" s="1"/>
  <c r="G27" i="18"/>
  <c r="G27" i="20" s="1"/>
  <c r="D28" i="18"/>
  <c r="D28" i="20" s="1"/>
  <c r="H23" i="16"/>
  <c r="L23" i="16"/>
  <c r="B24" i="16"/>
  <c r="E24" i="16" s="1"/>
  <c r="AP24" i="1"/>
  <c r="BH24" i="1"/>
  <c r="BN24" i="1" s="1"/>
  <c r="AY24" i="1"/>
  <c r="BE24" i="1" s="1"/>
  <c r="BG24" i="1"/>
  <c r="BM24" i="1" s="1"/>
  <c r="AO24" i="1"/>
  <c r="AX24" i="1"/>
  <c r="BD24" i="1" s="1"/>
  <c r="BI24" i="1"/>
  <c r="BO24" i="1" s="1"/>
  <c r="AQ24" i="1"/>
  <c r="AZ24" i="1"/>
  <c r="BF24" i="1" s="1"/>
  <c r="D46" i="4"/>
  <c r="D47" i="4"/>
  <c r="C29" i="18" l="1"/>
  <c r="C29" i="20" s="1"/>
  <c r="F28" i="18"/>
  <c r="F28" i="20" s="1"/>
  <c r="H24" i="16"/>
  <c r="L24" i="16"/>
  <c r="D29" i="18"/>
  <c r="D29" i="20" s="1"/>
  <c r="G28" i="18"/>
  <c r="G28" i="20" s="1"/>
  <c r="E28" i="18"/>
  <c r="E28" i="20" s="1"/>
  <c r="B26" i="16" s="1"/>
  <c r="E26" i="16" s="1"/>
  <c r="B29" i="18"/>
  <c r="B29" i="20" s="1"/>
  <c r="B25" i="16"/>
  <c r="E25" i="16" s="1"/>
  <c r="L40" i="9"/>
  <c r="B9" i="8" s="1"/>
  <c r="B36" i="8" s="1"/>
  <c r="H26" i="16" l="1"/>
  <c r="L26" i="16"/>
  <c r="C30" i="18"/>
  <c r="C30" i="20" s="1"/>
  <c r="F29" i="18"/>
  <c r="F29" i="20" s="1"/>
  <c r="L25" i="16"/>
  <c r="H25" i="16"/>
  <c r="E29" i="18"/>
  <c r="E29" i="20" s="1"/>
  <c r="B30" i="18"/>
  <c r="B30" i="20" s="1"/>
  <c r="G29" i="18"/>
  <c r="G29" i="20" s="1"/>
  <c r="D30" i="18"/>
  <c r="D30" i="20" s="1"/>
  <c r="A5" i="3"/>
  <c r="A3" i="6" s="1"/>
  <c r="I3" i="6" s="1"/>
  <c r="R3" i="6" s="1"/>
  <c r="Z3" i="6" s="1"/>
  <c r="A6" i="3"/>
  <c r="A4" i="6" s="1"/>
  <c r="I4" i="6" s="1"/>
  <c r="R4" i="6" s="1"/>
  <c r="Z4" i="6" s="1"/>
  <c r="L66" i="9"/>
  <c r="L65" i="9"/>
  <c r="L64" i="9"/>
  <c r="L63" i="9"/>
  <c r="L62" i="9"/>
  <c r="L61" i="9"/>
  <c r="L60" i="9"/>
  <c r="L59" i="9"/>
  <c r="L58" i="9"/>
  <c r="L57" i="9"/>
  <c r="L56" i="9"/>
  <c r="L55" i="9"/>
  <c r="L54" i="9"/>
  <c r="L53" i="9"/>
  <c r="L52" i="9"/>
  <c r="L51" i="9"/>
  <c r="L50" i="9"/>
  <c r="L49" i="9"/>
  <c r="L48" i="9"/>
  <c r="L47" i="9"/>
  <c r="L46" i="9"/>
  <c r="L45" i="9"/>
  <c r="L34" i="9"/>
  <c r="L33" i="9"/>
  <c r="L32" i="9"/>
  <c r="L31" i="9"/>
  <c r="L30" i="9"/>
  <c r="L29" i="9"/>
  <c r="O29" i="9" s="1"/>
  <c r="L28" i="9"/>
  <c r="L27" i="9"/>
  <c r="L26" i="9"/>
  <c r="L25" i="9"/>
  <c r="L24" i="9"/>
  <c r="L23" i="9"/>
  <c r="L22" i="9"/>
  <c r="L21" i="9"/>
  <c r="L20" i="9"/>
  <c r="L19" i="9"/>
  <c r="L18" i="9"/>
  <c r="L17" i="9"/>
  <c r="L16" i="9"/>
  <c r="B27" i="16" l="1"/>
  <c r="E27" i="16" s="1"/>
  <c r="D31" i="18"/>
  <c r="D31" i="20" s="1"/>
  <c r="G30" i="18"/>
  <c r="G30" i="20" s="1"/>
  <c r="C31" i="18"/>
  <c r="C31" i="20" s="1"/>
  <c r="F30" i="18"/>
  <c r="F30" i="20" s="1"/>
  <c r="E30" i="18"/>
  <c r="E30" i="20" s="1"/>
  <c r="B31" i="18"/>
  <c r="B31" i="20" s="1"/>
  <c r="AB4" i="6"/>
  <c r="AJ4" i="6" s="1"/>
  <c r="AB3" i="6"/>
  <c r="AJ3" i="6" s="1"/>
  <c r="E31" i="18" l="1"/>
  <c r="E31" i="20" s="1"/>
  <c r="F31" i="18"/>
  <c r="F31" i="20" s="1"/>
  <c r="L27" i="16"/>
  <c r="H27" i="16"/>
  <c r="G31" i="18"/>
  <c r="G31" i="20" s="1"/>
  <c r="B28" i="16"/>
  <c r="E28" i="16" s="1"/>
  <c r="AD5" i="1"/>
  <c r="L5" i="3"/>
  <c r="H28" i="16" l="1"/>
  <c r="L28" i="16"/>
  <c r="B29" i="16"/>
  <c r="L6" i="3"/>
  <c r="E29" i="16" l="1"/>
  <c r="B30" i="16"/>
  <c r="L7" i="3"/>
  <c r="L29" i="16" l="1"/>
  <c r="L30" i="16" s="1"/>
  <c r="H29" i="16"/>
  <c r="H30" i="16" s="1"/>
  <c r="E30" i="16"/>
  <c r="L8" i="3"/>
  <c r="B11" i="8"/>
  <c r="E11" i="8" s="1"/>
  <c r="B15" i="8"/>
  <c r="B19" i="8"/>
  <c r="E19" i="8" s="1"/>
  <c r="B23" i="8"/>
  <c r="B27" i="8"/>
  <c r="E27" i="8" s="1"/>
  <c r="B31" i="8"/>
  <c r="B35" i="8"/>
  <c r="E35" i="8" s="1"/>
  <c r="O9" i="9"/>
  <c r="C10" i="8" s="1"/>
  <c r="F10" i="8" s="1"/>
  <c r="O10" i="9"/>
  <c r="O11" i="9"/>
  <c r="C12" i="8" s="1"/>
  <c r="I12" i="8" s="1"/>
  <c r="O12" i="9"/>
  <c r="O13" i="9"/>
  <c r="O14" i="9"/>
  <c r="O15" i="9"/>
  <c r="O16" i="9"/>
  <c r="O17" i="9"/>
  <c r="O18" i="9"/>
  <c r="O19" i="9"/>
  <c r="O20" i="9"/>
  <c r="O21" i="9"/>
  <c r="O22" i="9"/>
  <c r="O23" i="9"/>
  <c r="O24" i="9"/>
  <c r="O25" i="9"/>
  <c r="O26" i="9"/>
  <c r="O27" i="9"/>
  <c r="O28" i="9"/>
  <c r="O30" i="9"/>
  <c r="O31" i="9"/>
  <c r="O32" i="9"/>
  <c r="O33" i="9"/>
  <c r="O34" i="9"/>
  <c r="O40" i="9"/>
  <c r="C9" i="8" s="1"/>
  <c r="O42" i="9"/>
  <c r="O44" i="9"/>
  <c r="O45" i="9"/>
  <c r="O46" i="9"/>
  <c r="O47" i="9"/>
  <c r="O48" i="9"/>
  <c r="O49" i="9"/>
  <c r="O50" i="9"/>
  <c r="O51" i="9"/>
  <c r="O52" i="9"/>
  <c r="O53" i="9"/>
  <c r="O54" i="9"/>
  <c r="O55" i="9"/>
  <c r="O56" i="9"/>
  <c r="O57" i="9"/>
  <c r="O58" i="9"/>
  <c r="O59" i="9"/>
  <c r="O60" i="9"/>
  <c r="O61" i="9"/>
  <c r="C30" i="8" s="1"/>
  <c r="O62" i="9"/>
  <c r="O63" i="9"/>
  <c r="O64" i="9"/>
  <c r="O65" i="9"/>
  <c r="O66" i="9"/>
  <c r="B10" i="8"/>
  <c r="B12" i="8"/>
  <c r="B13" i="8"/>
  <c r="E13" i="8" s="1"/>
  <c r="B14" i="8"/>
  <c r="B16" i="8"/>
  <c r="B17" i="8"/>
  <c r="B18" i="8"/>
  <c r="B20" i="8"/>
  <c r="B21" i="8"/>
  <c r="H21" i="8" s="1"/>
  <c r="B22" i="8"/>
  <c r="H22" i="8" s="1"/>
  <c r="B24" i="8"/>
  <c r="B25" i="8"/>
  <c r="B26" i="8"/>
  <c r="B28" i="8"/>
  <c r="B29" i="8"/>
  <c r="H29" i="8" s="1"/>
  <c r="B30" i="8"/>
  <c r="H30" i="8" s="1"/>
  <c r="B32" i="8"/>
  <c r="B33" i="8"/>
  <c r="B34" i="8"/>
  <c r="D26" i="11" l="1"/>
  <c r="B26" i="11"/>
  <c r="C26" i="11"/>
  <c r="AF30" i="6"/>
  <c r="O8" i="9"/>
  <c r="F9" i="8" s="1"/>
  <c r="C26" i="8"/>
  <c r="I26" i="8" s="1"/>
  <c r="C22" i="8"/>
  <c r="F22" i="8" s="1"/>
  <c r="C18" i="8"/>
  <c r="I18" i="8" s="1"/>
  <c r="C14" i="8"/>
  <c r="F14" i="8" s="1"/>
  <c r="C28" i="8"/>
  <c r="I28" i="8" s="1"/>
  <c r="C24" i="8"/>
  <c r="F24" i="8" s="1"/>
  <c r="C16" i="8"/>
  <c r="F16" i="8" s="1"/>
  <c r="C27" i="8"/>
  <c r="I27" i="8" s="1"/>
  <c r="C23" i="8"/>
  <c r="I23" i="8" s="1"/>
  <c r="C19" i="8"/>
  <c r="I19" i="8" s="1"/>
  <c r="C15" i="8"/>
  <c r="I15" i="8" s="1"/>
  <c r="L9" i="3"/>
  <c r="C34" i="8"/>
  <c r="I34" i="8" s="1"/>
  <c r="H11" i="8"/>
  <c r="C35" i="8"/>
  <c r="I35" i="8" s="1"/>
  <c r="C31" i="8"/>
  <c r="F31" i="8" s="1"/>
  <c r="C33" i="8"/>
  <c r="F33" i="8" s="1"/>
  <c r="C20" i="8"/>
  <c r="I20" i="8" s="1"/>
  <c r="C32" i="8"/>
  <c r="F32" i="8" s="1"/>
  <c r="C29" i="8"/>
  <c r="F29" i="8" s="1"/>
  <c r="C25" i="8"/>
  <c r="F25" i="8" s="1"/>
  <c r="C21" i="8"/>
  <c r="I21" i="8" s="1"/>
  <c r="C17" i="8"/>
  <c r="F17" i="8" s="1"/>
  <c r="C13" i="8"/>
  <c r="F13" i="8" s="1"/>
  <c r="C11" i="8"/>
  <c r="I11" i="8" s="1"/>
  <c r="D12" i="8"/>
  <c r="H33" i="8"/>
  <c r="E33" i="8"/>
  <c r="H17" i="8"/>
  <c r="E17" i="8"/>
  <c r="F30" i="8"/>
  <c r="I30" i="8"/>
  <c r="D10" i="8"/>
  <c r="H28" i="8"/>
  <c r="H20" i="8"/>
  <c r="H25" i="8"/>
  <c r="E25" i="8"/>
  <c r="H12" i="8"/>
  <c r="H14" i="8"/>
  <c r="F12" i="8"/>
  <c r="H35" i="8"/>
  <c r="H27" i="8"/>
  <c r="H19" i="8"/>
  <c r="E29" i="8"/>
  <c r="E21" i="8"/>
  <c r="H13" i="8"/>
  <c r="E28" i="8"/>
  <c r="E20" i="8"/>
  <c r="E12" i="8"/>
  <c r="D30" i="8"/>
  <c r="D14" i="8"/>
  <c r="E31" i="8"/>
  <c r="E23" i="8"/>
  <c r="E15" i="8"/>
  <c r="H34" i="8"/>
  <c r="H26" i="8"/>
  <c r="H18" i="8"/>
  <c r="H10" i="8"/>
  <c r="E32" i="8"/>
  <c r="I10" i="8"/>
  <c r="E34" i="8"/>
  <c r="E30" i="8"/>
  <c r="E26" i="8"/>
  <c r="E22" i="8"/>
  <c r="E18" i="8"/>
  <c r="E14" i="8"/>
  <c r="E10" i="8"/>
  <c r="H32" i="8"/>
  <c r="H24" i="8"/>
  <c r="H16" i="8"/>
  <c r="E24" i="8"/>
  <c r="E16" i="8"/>
  <c r="H31" i="8"/>
  <c r="H23" i="8"/>
  <c r="H15" i="8"/>
  <c r="AI30" i="6" l="1"/>
  <c r="AF31" i="6"/>
  <c r="I14" i="8"/>
  <c r="D13" i="11"/>
  <c r="F18" i="8"/>
  <c r="D18" i="8"/>
  <c r="D28" i="8"/>
  <c r="D27" i="8"/>
  <c r="F19" i="8"/>
  <c r="D23" i="8"/>
  <c r="D16" i="8"/>
  <c r="D15" i="8"/>
  <c r="D24" i="8"/>
  <c r="D22" i="8"/>
  <c r="F28" i="8"/>
  <c r="I22" i="8"/>
  <c r="F23" i="8"/>
  <c r="D26" i="8"/>
  <c r="F26" i="8"/>
  <c r="I16" i="8"/>
  <c r="D19" i="8"/>
  <c r="F27" i="8"/>
  <c r="F15" i="8"/>
  <c r="I24" i="8"/>
  <c r="E9" i="8"/>
  <c r="E36" i="8" s="1"/>
  <c r="B12" i="11" s="1"/>
  <c r="D12" i="11"/>
  <c r="L10" i="3"/>
  <c r="D34" i="8"/>
  <c r="F34" i="8"/>
  <c r="I32" i="8"/>
  <c r="I31" i="8"/>
  <c r="I33" i="8"/>
  <c r="D25" i="8"/>
  <c r="F11" i="8"/>
  <c r="F36" i="8" s="1"/>
  <c r="D11" i="8"/>
  <c r="F20" i="8"/>
  <c r="I25" i="8"/>
  <c r="D31" i="8"/>
  <c r="D32" i="8"/>
  <c r="D33" i="8"/>
  <c r="D35" i="8"/>
  <c r="F35" i="8"/>
  <c r="F21" i="8"/>
  <c r="D20" i="8"/>
  <c r="H9" i="8"/>
  <c r="H36" i="8" s="1"/>
  <c r="D29" i="8"/>
  <c r="I13" i="8"/>
  <c r="D13" i="8"/>
  <c r="I29" i="8"/>
  <c r="D21" i="8"/>
  <c r="I17" i="8"/>
  <c r="D17" i="8"/>
  <c r="I9" i="8"/>
  <c r="D9" i="8"/>
  <c r="AI34" i="6" l="1"/>
  <c r="D36" i="8"/>
  <c r="I36" i="8"/>
  <c r="C13" i="11"/>
  <c r="B13" i="11"/>
  <c r="B14" i="11" s="1"/>
  <c r="C12" i="11"/>
  <c r="D14" i="11"/>
  <c r="L11" i="3"/>
  <c r="C14" i="11" l="1"/>
  <c r="L12" i="3"/>
  <c r="L13" i="3" l="1"/>
  <c r="L14" i="3" l="1"/>
  <c r="L15" i="3" l="1"/>
  <c r="L16" i="3" l="1"/>
  <c r="L17" i="3" l="1"/>
  <c r="L18" i="3" l="1"/>
  <c r="L19" i="3" l="1"/>
  <c r="L20" i="3" l="1"/>
  <c r="AC5" i="1"/>
  <c r="K5" i="3"/>
  <c r="L21" i="3" l="1"/>
  <c r="L22" i="3" l="1"/>
  <c r="L23" i="3" l="1"/>
  <c r="L24" i="3" l="1"/>
  <c r="L25" i="3" l="1"/>
  <c r="AD25" i="1"/>
  <c r="T25" i="3" s="1"/>
  <c r="L26" i="3" l="1"/>
  <c r="AB5" i="3"/>
  <c r="L27" i="3" l="1"/>
  <c r="D5" i="3"/>
  <c r="AD5" i="3"/>
  <c r="C5" i="3"/>
  <c r="AC5" i="3"/>
  <c r="B5" i="3"/>
  <c r="X5" i="3"/>
  <c r="V5" i="3"/>
  <c r="W5" i="3"/>
  <c r="L28" i="3" l="1"/>
  <c r="L29" i="3" l="1"/>
  <c r="N5" i="3" l="1"/>
  <c r="J5" i="3" l="1"/>
  <c r="AB5" i="1"/>
  <c r="R5" i="3" s="1"/>
  <c r="AA5" i="1" l="1"/>
  <c r="Q5" i="3" s="1"/>
  <c r="I5" i="3"/>
  <c r="F5" i="3" l="1"/>
  <c r="AF5" i="3"/>
  <c r="E5" i="3"/>
  <c r="AE5" i="3"/>
  <c r="S5" i="3"/>
  <c r="T5" i="3"/>
  <c r="D3" i="6" s="1"/>
  <c r="K25" i="3" l="1"/>
  <c r="AC25" i="1"/>
  <c r="S25" i="3" s="1"/>
  <c r="P5" i="3" l="1"/>
  <c r="H5" i="3"/>
  <c r="V25" i="3" l="1"/>
  <c r="X25" i="3"/>
  <c r="W25" i="3"/>
  <c r="N25" i="3" l="1"/>
  <c r="J25" i="3" l="1"/>
  <c r="L3" i="6"/>
  <c r="I25" i="3" l="1"/>
  <c r="AE3" i="6"/>
  <c r="U3" i="6"/>
  <c r="AJ5" i="1" l="1"/>
  <c r="Z5" i="3" s="1"/>
  <c r="AK5" i="1" l="1"/>
  <c r="AA5" i="3" s="1"/>
  <c r="AG5" i="3"/>
  <c r="G3" i="6" s="1"/>
  <c r="N3" i="6" s="1"/>
  <c r="Y5" i="3"/>
  <c r="G5" i="3"/>
  <c r="B3" i="6" s="1"/>
  <c r="J3" i="6" s="1"/>
  <c r="F3" i="6" l="1"/>
  <c r="M3" i="6" s="1"/>
  <c r="AF3" i="6" s="1"/>
  <c r="M5" i="3"/>
  <c r="AE5" i="1"/>
  <c r="U5" i="3" s="1"/>
  <c r="O5" i="3"/>
  <c r="E3" i="6" s="1"/>
  <c r="W3" i="6"/>
  <c r="AG3" i="6"/>
  <c r="M21" i="3"/>
  <c r="O21" i="3"/>
  <c r="AC3" i="6"/>
  <c r="S3" i="6"/>
  <c r="O3" i="6" l="1"/>
  <c r="V3" i="6"/>
  <c r="AH3" i="6"/>
  <c r="X3" i="6"/>
  <c r="C3" i="6"/>
  <c r="O22" i="3"/>
  <c r="M22" i="3"/>
  <c r="M6" i="3"/>
  <c r="O6" i="3"/>
  <c r="O23" i="3" l="1"/>
  <c r="M23" i="3"/>
  <c r="M7" i="3"/>
  <c r="O7" i="3"/>
  <c r="K3" i="6"/>
  <c r="T3" i="6" l="1"/>
  <c r="AD3" i="6"/>
  <c r="P3" i="6"/>
  <c r="O8" i="3"/>
  <c r="M8" i="3"/>
  <c r="O24" i="3"/>
  <c r="M24" i="3"/>
  <c r="O9" i="3" l="1"/>
  <c r="M9" i="3"/>
  <c r="AI3" i="6"/>
  <c r="AE25" i="1"/>
  <c r="U25" i="3" s="1"/>
  <c r="M25" i="3"/>
  <c r="O25" i="3"/>
  <c r="E23" i="6" s="1"/>
  <c r="O23" i="6" s="1"/>
  <c r="Y3" i="6"/>
  <c r="M10" i="3" l="1"/>
  <c r="O10" i="3"/>
  <c r="M26" i="3"/>
  <c r="O26" i="3"/>
  <c r="AH23" i="6"/>
  <c r="X23" i="6"/>
  <c r="M11" i="3" l="1"/>
  <c r="O11" i="3"/>
  <c r="O27" i="3"/>
  <c r="M27" i="3"/>
  <c r="O28" i="3" l="1"/>
  <c r="M28" i="3"/>
  <c r="O12" i="3"/>
  <c r="M12" i="3"/>
  <c r="M29" i="3" l="1"/>
  <c r="O29" i="3"/>
  <c r="M13" i="3"/>
  <c r="O13" i="3"/>
  <c r="M14" i="3" l="1"/>
  <c r="O14" i="3"/>
  <c r="O15" i="3" l="1"/>
  <c r="M15" i="3"/>
  <c r="O16" i="3" l="1"/>
  <c r="M16" i="3"/>
  <c r="M17" i="3" l="1"/>
  <c r="O17" i="3"/>
  <c r="O18" i="3" l="1"/>
  <c r="M18" i="3"/>
  <c r="M19" i="3" l="1"/>
  <c r="O19" i="3"/>
  <c r="O20" i="3" l="1"/>
  <c r="M20" i="3"/>
  <c r="K17" i="3" l="1"/>
  <c r="K10" i="3"/>
  <c r="K22" i="3"/>
  <c r="K19" i="3"/>
  <c r="K23" i="3"/>
  <c r="AJ21" i="1"/>
  <c r="Z21" i="3" s="1"/>
  <c r="K16" i="3"/>
  <c r="K28" i="3"/>
  <c r="K15" i="3"/>
  <c r="K27" i="3"/>
  <c r="K20" i="3"/>
  <c r="K26" i="3"/>
  <c r="K12" i="3"/>
  <c r="K7" i="3"/>
  <c r="K9" i="3"/>
  <c r="K14" i="3"/>
  <c r="AI21" i="1"/>
  <c r="Y21" i="3" s="1"/>
  <c r="AK21" i="1"/>
  <c r="AA21" i="3" s="1"/>
  <c r="K6" i="3"/>
  <c r="K8" i="3"/>
  <c r="K24" i="3"/>
  <c r="K29" i="3"/>
  <c r="K13" i="3"/>
  <c r="K18" i="3"/>
  <c r="K11" i="3"/>
  <c r="K21" i="3"/>
  <c r="H25" i="3"/>
  <c r="G26" i="3" l="1"/>
  <c r="AG26" i="3"/>
  <c r="E12" i="3"/>
  <c r="AE12" i="3"/>
  <c r="AE15" i="3"/>
  <c r="E15" i="3"/>
  <c r="AE22" i="3"/>
  <c r="E22" i="3"/>
  <c r="E23" i="3"/>
  <c r="AE23" i="3"/>
  <c r="E14" i="3"/>
  <c r="AE14" i="3"/>
  <c r="AF17" i="3"/>
  <c r="F17" i="3"/>
  <c r="E19" i="3"/>
  <c r="AE19" i="3"/>
  <c r="F12" i="3"/>
  <c r="AF12" i="3"/>
  <c r="F19" i="3"/>
  <c r="AF19" i="3"/>
  <c r="AE27" i="3"/>
  <c r="E27" i="3"/>
  <c r="G13" i="3"/>
  <c r="AG13" i="3"/>
  <c r="AE29" i="3"/>
  <c r="E29" i="3"/>
  <c r="J23" i="3"/>
  <c r="E10" i="3"/>
  <c r="AE10" i="3"/>
  <c r="AI19" i="1"/>
  <c r="Y19" i="3" s="1"/>
  <c r="AG23" i="3"/>
  <c r="G23" i="3"/>
  <c r="AE18" i="3"/>
  <c r="E18" i="3"/>
  <c r="AE16" i="3"/>
  <c r="E16" i="3"/>
  <c r="AF8" i="3"/>
  <c r="F8" i="3"/>
  <c r="G11" i="3"/>
  <c r="AG11" i="3"/>
  <c r="AE20" i="3"/>
  <c r="E20" i="3"/>
  <c r="AF7" i="3"/>
  <c r="F7" i="3"/>
  <c r="AG28" i="3"/>
  <c r="G28" i="3"/>
  <c r="AG29" i="3"/>
  <c r="G29" i="3"/>
  <c r="AG8" i="3"/>
  <c r="G8" i="3"/>
  <c r="F22" i="3"/>
  <c r="AF22" i="3"/>
  <c r="AG15" i="3"/>
  <c r="G15" i="3"/>
  <c r="E8" i="3"/>
  <c r="AE8" i="3"/>
  <c r="G21" i="3"/>
  <c r="AG21" i="3"/>
  <c r="E24" i="3"/>
  <c r="AE24" i="3"/>
  <c r="AK24" i="1"/>
  <c r="AA24" i="3" s="1"/>
  <c r="AE17" i="3"/>
  <c r="E17" i="3"/>
  <c r="AF9" i="3"/>
  <c r="F9" i="3"/>
  <c r="AF14" i="3"/>
  <c r="F14" i="3"/>
  <c r="AE6" i="3"/>
  <c r="E6" i="3"/>
  <c r="J20" i="3"/>
  <c r="AG6" i="1"/>
  <c r="W6" i="3" s="1"/>
  <c r="F21" i="3"/>
  <c r="AF21" i="3"/>
  <c r="F28" i="3"/>
  <c r="AF28" i="3"/>
  <c r="AE26" i="3"/>
  <c r="E26" i="3"/>
  <c r="J7" i="3"/>
  <c r="AH22" i="1"/>
  <c r="X22" i="3" s="1"/>
  <c r="F20" i="3"/>
  <c r="AF20" i="3"/>
  <c r="AG23" i="1"/>
  <c r="W23" i="3" s="1"/>
  <c r="J9" i="3"/>
  <c r="AE13" i="3"/>
  <c r="E13" i="3"/>
  <c r="AI26" i="1"/>
  <c r="Y26" i="3" s="1"/>
  <c r="F13" i="3"/>
  <c r="AF13" i="3"/>
  <c r="D21" i="3"/>
  <c r="AD21" i="3"/>
  <c r="AF16" i="3"/>
  <c r="F16" i="3"/>
  <c r="AG25" i="3"/>
  <c r="G25" i="3"/>
  <c r="AE7" i="3"/>
  <c r="E7" i="3"/>
  <c r="G14" i="3"/>
  <c r="AG14" i="3"/>
  <c r="AF26" i="3"/>
  <c r="F26" i="3"/>
  <c r="AK12" i="1"/>
  <c r="AA12" i="3" s="1"/>
  <c r="AF27" i="3"/>
  <c r="F27" i="3"/>
  <c r="J21" i="3"/>
  <c r="AI12" i="1"/>
  <c r="Y12" i="3" s="1"/>
  <c r="G24" i="3"/>
  <c r="AG24" i="3"/>
  <c r="AF11" i="3"/>
  <c r="F11" i="3"/>
  <c r="J8" i="3"/>
  <c r="AE9" i="3"/>
  <c r="E9" i="3"/>
  <c r="AI15" i="1"/>
  <c r="Y15" i="3" s="1"/>
  <c r="AF24" i="3"/>
  <c r="F24" i="3"/>
  <c r="AK9" i="1"/>
  <c r="AA9" i="3" s="1"/>
  <c r="AI16" i="1"/>
  <c r="Y16" i="3" s="1"/>
  <c r="J27" i="3"/>
  <c r="AI13" i="1"/>
  <c r="Y13" i="3" s="1"/>
  <c r="G16" i="3"/>
  <c r="AG16" i="3"/>
  <c r="AI7" i="1"/>
  <c r="Y7" i="3" s="1"/>
  <c r="AF18" i="3"/>
  <c r="F18" i="3"/>
  <c r="AC21" i="3"/>
  <c r="C21" i="3"/>
  <c r="J10" i="3"/>
  <c r="AG27" i="3"/>
  <c r="G27" i="3"/>
  <c r="J18" i="3"/>
  <c r="AE18" i="1"/>
  <c r="U18" i="3" s="1"/>
  <c r="AG19" i="3"/>
  <c r="G19" i="3"/>
  <c r="AK27" i="1"/>
  <c r="AA27" i="3" s="1"/>
  <c r="AJ26" i="1"/>
  <c r="Z26" i="3" s="1"/>
  <c r="AI18" i="1"/>
  <c r="Y18" i="3" s="1"/>
  <c r="J13" i="3"/>
  <c r="AG6" i="3"/>
  <c r="G6" i="3"/>
  <c r="J6" i="3"/>
  <c r="J28" i="3"/>
  <c r="G18" i="3"/>
  <c r="AG18" i="3"/>
  <c r="AE16" i="1"/>
  <c r="U16" i="3" s="1"/>
  <c r="AG28" i="1"/>
  <c r="W28" i="3" s="1"/>
  <c r="AG20" i="1"/>
  <c r="W20" i="3" s="1"/>
  <c r="AH16" i="1"/>
  <c r="X16" i="3" s="1"/>
  <c r="AG18" i="1"/>
  <c r="W18" i="3" s="1"/>
  <c r="AG12" i="1"/>
  <c r="W12" i="3" s="1"/>
  <c r="G10" i="3"/>
  <c r="AG10" i="3"/>
  <c r="AH28" i="1"/>
  <c r="X28" i="3" s="1"/>
  <c r="F10" i="3"/>
  <c r="AF10" i="3"/>
  <c r="AE11" i="3"/>
  <c r="E11" i="3"/>
  <c r="AK11" i="1"/>
  <c r="AA11" i="3" s="1"/>
  <c r="G22" i="3"/>
  <c r="AG22" i="3"/>
  <c r="E28" i="3"/>
  <c r="AE28" i="3"/>
  <c r="AI28" i="1"/>
  <c r="Y28" i="3" s="1"/>
  <c r="AK28" i="1"/>
  <c r="AA28" i="3" s="1"/>
  <c r="AJ16" i="1"/>
  <c r="Z16" i="3" s="1"/>
  <c r="AC9" i="1"/>
  <c r="S9" i="3" s="1"/>
  <c r="AI8" i="1"/>
  <c r="Y8" i="3" s="1"/>
  <c r="F29" i="3"/>
  <c r="AF29" i="3"/>
  <c r="AJ18" i="1"/>
  <c r="Z18" i="3" s="1"/>
  <c r="G7" i="3"/>
  <c r="AG7" i="3"/>
  <c r="AJ12" i="1"/>
  <c r="Z12" i="3" s="1"/>
  <c r="J17" i="3"/>
  <c r="AD7" i="1"/>
  <c r="T7" i="3" s="1"/>
  <c r="AH23" i="1"/>
  <c r="X23" i="3" s="1"/>
  <c r="AC11" i="1"/>
  <c r="S11" i="3" s="1"/>
  <c r="AI24" i="1"/>
  <c r="Y24" i="3" s="1"/>
  <c r="AC26" i="1"/>
  <c r="S26" i="3" s="1"/>
  <c r="AI14" i="1"/>
  <c r="Y14" i="3" s="1"/>
  <c r="AK15" i="1"/>
  <c r="AA15" i="3" s="1"/>
  <c r="AH13" i="1"/>
  <c r="X13" i="3" s="1"/>
  <c r="AC18" i="1"/>
  <c r="S18" i="3" s="1"/>
  <c r="AH19" i="1"/>
  <c r="X19" i="3" s="1"/>
  <c r="AE15" i="1"/>
  <c r="U15" i="3" s="1"/>
  <c r="AC27" i="1"/>
  <c r="S27" i="3" s="1"/>
  <c r="AE21" i="1"/>
  <c r="U21" i="3" s="1"/>
  <c r="AE13" i="1"/>
  <c r="U13" i="3" s="1"/>
  <c r="AG7" i="1"/>
  <c r="W7" i="3" s="1"/>
  <c r="AH9" i="1"/>
  <c r="X9" i="3" s="1"/>
  <c r="AE8" i="1"/>
  <c r="U8" i="3" s="1"/>
  <c r="AK13" i="1"/>
  <c r="AA13" i="3" s="1"/>
  <c r="AD13" i="1"/>
  <c r="T13" i="3" s="1"/>
  <c r="AG15" i="1"/>
  <c r="W15" i="3" s="1"/>
  <c r="AK20" i="1"/>
  <c r="AA20" i="3" s="1"/>
  <c r="AE7" i="1"/>
  <c r="U7" i="3" s="1"/>
  <c r="AK8" i="1"/>
  <c r="AA8" i="3" s="1"/>
  <c r="AK25" i="1"/>
  <c r="AA25" i="3" s="1"/>
  <c r="AJ25" i="1"/>
  <c r="Z25" i="3" s="1"/>
  <c r="I19" i="3"/>
  <c r="AE11" i="1"/>
  <c r="U11" i="3" s="1"/>
  <c r="AJ10" i="1"/>
  <c r="Z10" i="3" s="1"/>
  <c r="AF7" i="1"/>
  <c r="V7" i="3" s="1"/>
  <c r="AJ29" i="1"/>
  <c r="Z29" i="3" s="1"/>
  <c r="AD28" i="1"/>
  <c r="T28" i="3" s="1"/>
  <c r="AI20" i="1"/>
  <c r="Y20" i="3" s="1"/>
  <c r="AH12" i="1"/>
  <c r="X12" i="3" s="1"/>
  <c r="AD16" i="1"/>
  <c r="T16" i="3" s="1"/>
  <c r="AI29" i="1"/>
  <c r="Y29" i="3" s="1"/>
  <c r="AH15" i="1"/>
  <c r="X15" i="3" s="1"/>
  <c r="AD18" i="1"/>
  <c r="T18" i="3" s="1"/>
  <c r="AD22" i="1"/>
  <c r="T22" i="3" s="1"/>
  <c r="AI23" i="1"/>
  <c r="Y23" i="3" s="1"/>
  <c r="J29" i="3"/>
  <c r="AG10" i="1"/>
  <c r="W10" i="3" s="1"/>
  <c r="AI9" i="1"/>
  <c r="Y9" i="3" s="1"/>
  <c r="AE21" i="3"/>
  <c r="E21" i="3"/>
  <c r="Z21" i="1"/>
  <c r="P21" i="3" s="1"/>
  <c r="AE22" i="1"/>
  <c r="U22" i="3" s="1"/>
  <c r="AE28" i="1"/>
  <c r="U28" i="3" s="1"/>
  <c r="AE9" i="1"/>
  <c r="U9" i="3" s="1"/>
  <c r="J14" i="3"/>
  <c r="I12" i="3"/>
  <c r="AG17" i="3"/>
  <c r="G17" i="3"/>
  <c r="AG9" i="3"/>
  <c r="G9" i="3"/>
  <c r="AF25" i="3"/>
  <c r="F25" i="3"/>
  <c r="J11" i="3"/>
  <c r="AG17" i="1"/>
  <c r="W17" i="3" s="1"/>
  <c r="F15" i="3"/>
  <c r="AF15" i="3"/>
  <c r="AH18" i="1"/>
  <c r="X18" i="3" s="1"/>
  <c r="AD21" i="1"/>
  <c r="T21" i="3" s="1"/>
  <c r="AJ22" i="1"/>
  <c r="Z22" i="3" s="1"/>
  <c r="AG20" i="3"/>
  <c r="G20" i="3"/>
  <c r="AH21" i="1"/>
  <c r="X21" i="3" s="1"/>
  <c r="AI22" i="1"/>
  <c r="Y22" i="3" s="1"/>
  <c r="AC15" i="1"/>
  <c r="S15" i="3" s="1"/>
  <c r="AJ23" i="1"/>
  <c r="Z23" i="3" s="1"/>
  <c r="AK17" i="1"/>
  <c r="AA17" i="3"/>
  <c r="AF23" i="3"/>
  <c r="F23" i="3"/>
  <c r="I29" i="3"/>
  <c r="AF17" i="1"/>
  <c r="V17" i="3" s="1"/>
  <c r="AD23" i="1"/>
  <c r="T23" i="3" s="1"/>
  <c r="AA21" i="1"/>
  <c r="Q21" i="3" s="1"/>
  <c r="AK22" i="1"/>
  <c r="AA22" i="3" s="1"/>
  <c r="AG19" i="1"/>
  <c r="W19" i="3" s="1"/>
  <c r="AJ7" i="1"/>
  <c r="Z7" i="3" s="1"/>
  <c r="AD17" i="1"/>
  <c r="T17" i="3" s="1"/>
  <c r="AC29" i="1"/>
  <c r="S29" i="3" s="1"/>
  <c r="H19" i="3"/>
  <c r="I23" i="3"/>
  <c r="AF15" i="1"/>
  <c r="V15" i="3" s="1"/>
  <c r="N21" i="3"/>
  <c r="E19" i="6" s="1"/>
  <c r="O19" i="6" s="1"/>
  <c r="J15" i="3"/>
  <c r="I14" i="3"/>
  <c r="AG11" i="1"/>
  <c r="W11" i="3" s="1"/>
  <c r="AH20" i="1"/>
  <c r="X20" i="3" s="1"/>
  <c r="AD14" i="1"/>
  <c r="T14" i="3" s="1"/>
  <c r="AJ20" i="1"/>
  <c r="Z20" i="3" s="1"/>
  <c r="AF19" i="1"/>
  <c r="V19" i="3" s="1"/>
  <c r="N27" i="3"/>
  <c r="E25" i="6" s="1"/>
  <c r="O25" i="6" s="1"/>
  <c r="AI11" i="1"/>
  <c r="Y11" i="3" s="1"/>
  <c r="AK10" i="1"/>
  <c r="AA10" i="3" s="1"/>
  <c r="AE19" i="1"/>
  <c r="U19" i="3" s="1"/>
  <c r="J12" i="3"/>
  <c r="H26" i="3"/>
  <c r="AC19" i="1"/>
  <c r="S19" i="3" s="1"/>
  <c r="G12" i="3"/>
  <c r="AG12" i="3"/>
  <c r="AE26" i="1"/>
  <c r="U26" i="3" s="1"/>
  <c r="AH14" i="1"/>
  <c r="X14" i="3" s="1"/>
  <c r="AJ28" i="1"/>
  <c r="Z28" i="3" s="1"/>
  <c r="I7" i="3"/>
  <c r="AF11" i="1"/>
  <c r="V11" i="3" s="1"/>
  <c r="N22" i="3"/>
  <c r="E20" i="6" s="1"/>
  <c r="O20" i="6" s="1"/>
  <c r="J22" i="3"/>
  <c r="J19" i="3"/>
  <c r="AC17" i="1"/>
  <c r="S17" i="3" s="1"/>
  <c r="AG13" i="1"/>
  <c r="W13" i="3" s="1"/>
  <c r="AG27" i="1"/>
  <c r="W27" i="3" s="1"/>
  <c r="AG24" i="1"/>
  <c r="W24" i="3" s="1"/>
  <c r="AI6" i="1"/>
  <c r="Y6" i="3" s="1"/>
  <c r="AJ6" i="1"/>
  <c r="Z6" i="3" s="1"/>
  <c r="AC23" i="1"/>
  <c r="S23" i="3" s="1"/>
  <c r="AE6" i="1"/>
  <c r="U6" i="3" s="1"/>
  <c r="N29" i="3"/>
  <c r="E27" i="6" s="1"/>
  <c r="O27" i="6" s="1"/>
  <c r="R6" i="12"/>
  <c r="W45" i="12" s="1"/>
  <c r="F6" i="3"/>
  <c r="AF6" i="3"/>
  <c r="N18" i="3"/>
  <c r="E16" i="6" s="1"/>
  <c r="O16" i="6" s="1"/>
  <c r="X16" i="6" s="1"/>
  <c r="AK14" i="1"/>
  <c r="AA14" i="3" s="1"/>
  <c r="AD11" i="1"/>
  <c r="T11" i="3" s="1"/>
  <c r="AD29" i="1"/>
  <c r="T29" i="3" s="1"/>
  <c r="J26" i="3"/>
  <c r="N8" i="3"/>
  <c r="E6" i="6" s="1"/>
  <c r="O6" i="6" s="1"/>
  <c r="AG9" i="1"/>
  <c r="W9" i="3" s="1"/>
  <c r="AC20" i="1"/>
  <c r="S20" i="3" s="1"/>
  <c r="H12" i="3"/>
  <c r="AD6" i="1"/>
  <c r="T6" i="3" s="1"/>
  <c r="AD12" i="1"/>
  <c r="T12" i="3" s="1"/>
  <c r="AI10" i="1"/>
  <c r="Y10" i="3" s="1"/>
  <c r="AF29" i="1"/>
  <c r="V29" i="3" s="1"/>
  <c r="AD27" i="1"/>
  <c r="T27" i="3" s="1"/>
  <c r="AK16" i="1"/>
  <c r="AA16" i="3" s="1"/>
  <c r="AC14" i="1"/>
  <c r="S14" i="3" s="1"/>
  <c r="AD26" i="1"/>
  <c r="T26" i="3" s="1"/>
  <c r="AD20" i="1"/>
  <c r="T20" i="3" s="1"/>
  <c r="B21" i="3"/>
  <c r="AH26" i="1"/>
  <c r="X26" i="3" s="1"/>
  <c r="AF13" i="1"/>
  <c r="V13" i="3" s="1"/>
  <c r="AJ24" i="1"/>
  <c r="Z24" i="3" s="1"/>
  <c r="AF12" i="1"/>
  <c r="V12" i="3" s="1"/>
  <c r="AC7" i="1"/>
  <c r="S7" i="3" s="1"/>
  <c r="I20" i="3"/>
  <c r="AE23" i="1"/>
  <c r="U23" i="3" s="1"/>
  <c r="AE10" i="1"/>
  <c r="U10" i="3" s="1"/>
  <c r="AE14" i="1"/>
  <c r="U14" i="3" s="1"/>
  <c r="I11" i="3"/>
  <c r="I16" i="3"/>
  <c r="AC28" i="1"/>
  <c r="S28" i="3" s="1"/>
  <c r="AH8" i="1"/>
  <c r="X8" i="3" s="1"/>
  <c r="AK26" i="1"/>
  <c r="AA26" i="3" s="1"/>
  <c r="AE27" i="1"/>
  <c r="U27" i="3" s="1"/>
  <c r="N20" i="3"/>
  <c r="E18" i="6" s="1"/>
  <c r="O18" i="6" s="1"/>
  <c r="AJ11" i="1"/>
  <c r="Z11" i="3" s="1"/>
  <c r="H7" i="3"/>
  <c r="AJ19" i="1"/>
  <c r="Z19" i="3" s="1"/>
  <c r="AK29" i="1"/>
  <c r="AA29" i="3" s="1"/>
  <c r="AC16" i="1"/>
  <c r="S16" i="3" s="1"/>
  <c r="N13" i="3"/>
  <c r="E11" i="6" s="1"/>
  <c r="O11" i="6" s="1"/>
  <c r="N26" i="3"/>
  <c r="E24" i="6" s="1"/>
  <c r="O24" i="6" s="1"/>
  <c r="H23" i="3"/>
  <c r="AK18" i="1"/>
  <c r="AA18" i="3" s="1"/>
  <c r="I10" i="3"/>
  <c r="H24" i="3"/>
  <c r="AI27" i="1"/>
  <c r="Y27" i="3"/>
  <c r="AF21" i="1"/>
  <c r="V21" i="3" s="1"/>
  <c r="H8" i="3"/>
  <c r="H17" i="3"/>
  <c r="I22" i="3"/>
  <c r="AF27" i="1"/>
  <c r="V27" i="3" s="1"/>
  <c r="AF24" i="1"/>
  <c r="V24" i="3" s="1"/>
  <c r="AJ27" i="1"/>
  <c r="Z27" i="3" s="1"/>
  <c r="H22" i="3"/>
  <c r="N19" i="3"/>
  <c r="E17" i="6" s="1"/>
  <c r="O17" i="6" s="1"/>
  <c r="AH17" i="6" s="1"/>
  <c r="I17" i="3"/>
  <c r="AE17" i="1"/>
  <c r="U17" i="3" s="1"/>
  <c r="I8" i="3"/>
  <c r="N24" i="3"/>
  <c r="E22" i="6" s="1"/>
  <c r="O22" i="6" s="1"/>
  <c r="J24" i="3"/>
  <c r="N10" i="3"/>
  <c r="E8" i="6" s="1"/>
  <c r="O8" i="6" s="1"/>
  <c r="X8" i="6" s="1"/>
  <c r="AK7" i="1"/>
  <c r="AA7" i="3" s="1"/>
  <c r="AE12" i="1"/>
  <c r="U12" i="3" s="1"/>
  <c r="AH10" i="1"/>
  <c r="X10" i="3" s="1"/>
  <c r="AC8" i="1"/>
  <c r="S8" i="3" s="1"/>
  <c r="AD9" i="1"/>
  <c r="T9" i="3"/>
  <c r="N9" i="3"/>
  <c r="E7" i="6" s="1"/>
  <c r="O7" i="6" s="1"/>
  <c r="H10" i="3"/>
  <c r="I28" i="3"/>
  <c r="N28" i="3"/>
  <c r="E26" i="6"/>
  <c r="O26" i="6" s="1"/>
  <c r="X26" i="6" s="1"/>
  <c r="H13" i="3"/>
  <c r="AF8" i="1"/>
  <c r="V8" i="3" s="1"/>
  <c r="I13" i="3"/>
  <c r="AG21" i="1"/>
  <c r="W21" i="3" s="1"/>
  <c r="AF23" i="1"/>
  <c r="V23" i="3" s="1"/>
  <c r="AD8" i="1"/>
  <c r="T8" i="3" s="1"/>
  <c r="AK23" i="1"/>
  <c r="AA23" i="3" s="1"/>
  <c r="AE20" i="1"/>
  <c r="U20" i="3" s="1"/>
  <c r="AF26" i="1"/>
  <c r="V26" i="3" s="1"/>
  <c r="AH11" i="1"/>
  <c r="X11" i="3" s="1"/>
  <c r="AJ13" i="1"/>
  <c r="Z13" i="3" s="1"/>
  <c r="AH29" i="1"/>
  <c r="X29" i="3" s="1"/>
  <c r="AG8" i="1"/>
  <c r="W8" i="3" s="1"/>
  <c r="AF9" i="1"/>
  <c r="V9" i="3" s="1"/>
  <c r="AD10" i="1"/>
  <c r="T10" i="3" s="1"/>
  <c r="AF18" i="1"/>
  <c r="V18" i="3" s="1"/>
  <c r="AC21" i="1"/>
  <c r="S21" i="3" s="1"/>
  <c r="AH27" i="1"/>
  <c r="X27" i="3" s="1"/>
  <c r="AB21" i="3"/>
  <c r="H18" i="3"/>
  <c r="N15" i="3"/>
  <c r="E13" i="6" s="1"/>
  <c r="O13" i="6" s="1"/>
  <c r="AF6" i="1"/>
  <c r="V6" i="3" s="1"/>
  <c r="AG22" i="1"/>
  <c r="W22" i="3" s="1"/>
  <c r="AK19" i="1"/>
  <c r="AA19" i="3" s="1"/>
  <c r="H6" i="3"/>
  <c r="AC6" i="1"/>
  <c r="S6" i="3" s="1"/>
  <c r="I27" i="3"/>
  <c r="N11" i="3"/>
  <c r="E9" i="6" s="1"/>
  <c r="O9" i="6" s="1"/>
  <c r="N12" i="3"/>
  <c r="E10" i="6" s="1"/>
  <c r="O10" i="6" s="1"/>
  <c r="AF16" i="1"/>
  <c r="V16" i="3" s="1"/>
  <c r="AC13" i="1"/>
  <c r="S13" i="3" s="1"/>
  <c r="I21" i="3"/>
  <c r="H28" i="3"/>
  <c r="AG16" i="1"/>
  <c r="W16" i="3" s="1"/>
  <c r="AJ15" i="1"/>
  <c r="Z15" i="3" s="1"/>
  <c r="AF10" i="1"/>
  <c r="V10" i="3" s="1"/>
  <c r="AF28" i="1"/>
  <c r="V28" i="3" s="1"/>
  <c r="AH17" i="1"/>
  <c r="X17" i="3" s="1"/>
  <c r="AC24" i="1"/>
  <c r="S24" i="3" s="1"/>
  <c r="AK6" i="1"/>
  <c r="AA6" i="3" s="1"/>
  <c r="AJ8" i="1"/>
  <c r="Z8" i="3" s="1"/>
  <c r="I18" i="3"/>
  <c r="J16" i="3"/>
  <c r="N16" i="3"/>
  <c r="E14" i="6" s="1"/>
  <c r="O14" i="6" s="1"/>
  <c r="I26" i="3"/>
  <c r="I6" i="3"/>
  <c r="AD15" i="1"/>
  <c r="T15" i="3" s="1"/>
  <c r="AI25" i="1"/>
  <c r="Y25" i="3" s="1"/>
  <c r="AC10" i="1"/>
  <c r="S10" i="3" s="1"/>
  <c r="AJ14" i="1"/>
  <c r="Z14" i="3" s="1"/>
  <c r="AD19" i="1"/>
  <c r="T19" i="3" s="1"/>
  <c r="AE24" i="1"/>
  <c r="U24" i="3" s="1"/>
  <c r="H27" i="3"/>
  <c r="AH7" i="1"/>
  <c r="X7" i="3" s="1"/>
  <c r="N17" i="3"/>
  <c r="E15" i="6" s="1"/>
  <c r="O15" i="6" s="1"/>
  <c r="I24" i="3"/>
  <c r="AE29" i="1"/>
  <c r="U29" i="3" s="1"/>
  <c r="AG26" i="1"/>
  <c r="W26" i="3" s="1"/>
  <c r="AI17" i="1"/>
  <c r="Y17" i="3" s="1"/>
  <c r="AG29" i="1"/>
  <c r="W29" i="3" s="1"/>
  <c r="N14" i="3"/>
  <c r="E12" i="6" s="1"/>
  <c r="O12" i="6" s="1"/>
  <c r="AF14" i="1"/>
  <c r="V14" i="3" s="1"/>
  <c r="AB21" i="1"/>
  <c r="R21" i="3" s="1"/>
  <c r="AG14" i="1"/>
  <c r="W14" i="3" s="1"/>
  <c r="H15" i="3"/>
  <c r="AJ17" i="1"/>
  <c r="Z17" i="3" s="1"/>
  <c r="AE25" i="3"/>
  <c r="N23" i="3"/>
  <c r="E21" i="6" s="1"/>
  <c r="O21" i="6" s="1"/>
  <c r="E25" i="3"/>
  <c r="H9" i="3"/>
  <c r="AH24" i="1"/>
  <c r="X24" i="3" s="1"/>
  <c r="I15" i="3"/>
  <c r="AC22" i="1"/>
  <c r="S22" i="3" s="1"/>
  <c r="H21" i="3"/>
  <c r="AD24" i="1"/>
  <c r="T24" i="3" s="1"/>
  <c r="N7" i="3"/>
  <c r="E5" i="6" s="1"/>
  <c r="O5" i="6" s="1"/>
  <c r="AF20" i="1"/>
  <c r="V20" i="3" s="1"/>
  <c r="AH6" i="1"/>
  <c r="X6" i="3" s="1"/>
  <c r="AJ9" i="1"/>
  <c r="Z9" i="3" s="1"/>
  <c r="AC12" i="1"/>
  <c r="S12" i="3" s="1"/>
  <c r="AF22" i="1"/>
  <c r="V22" i="3" s="1"/>
  <c r="H16" i="3"/>
  <c r="H14" i="3"/>
  <c r="H11" i="3"/>
  <c r="H20" i="3"/>
  <c r="I9" i="3"/>
  <c r="N6" i="3"/>
  <c r="E4" i="6" s="1"/>
  <c r="H29" i="3"/>
  <c r="O4" i="6" l="1"/>
  <c r="AH4" i="6" s="1"/>
  <c r="E28" i="6"/>
  <c r="F23" i="6"/>
  <c r="M23" i="6" s="1"/>
  <c r="V23" i="6" s="1"/>
  <c r="F24" i="6"/>
  <c r="M24" i="6" s="1"/>
  <c r="AF24" i="6" s="1"/>
  <c r="D19" i="6"/>
  <c r="L19" i="6" s="1"/>
  <c r="AE19" i="6" s="1"/>
  <c r="F19" i="6"/>
  <c r="M19" i="6" s="1"/>
  <c r="V19" i="6" s="1"/>
  <c r="F17" i="6"/>
  <c r="M17" i="6" s="1"/>
  <c r="AF17" i="6" s="1"/>
  <c r="F10" i="6"/>
  <c r="M10" i="6" s="1"/>
  <c r="AF10" i="6" s="1"/>
  <c r="F12" i="6"/>
  <c r="M12" i="6" s="1"/>
  <c r="AF12" i="6" s="1"/>
  <c r="F26" i="6"/>
  <c r="M26" i="6" s="1"/>
  <c r="V26" i="6" s="1"/>
  <c r="X20" i="6"/>
  <c r="AH20" i="6"/>
  <c r="X25" i="6"/>
  <c r="AH25" i="6"/>
  <c r="B19" i="6"/>
  <c r="J19" i="6" s="1"/>
  <c r="AC19" i="6" s="1"/>
  <c r="X19" i="6"/>
  <c r="AH19" i="6"/>
  <c r="X5" i="6"/>
  <c r="AH5" i="6"/>
  <c r="W38" i="12"/>
  <c r="W7" i="12"/>
  <c r="X15" i="6"/>
  <c r="AH15" i="6"/>
  <c r="F8" i="6"/>
  <c r="M8" i="6" s="1"/>
  <c r="V8" i="6" s="1"/>
  <c r="F25" i="6"/>
  <c r="M25" i="6" s="1"/>
  <c r="AF25" i="6" s="1"/>
  <c r="X17" i="6"/>
  <c r="F5" i="6"/>
  <c r="M5" i="6" s="1"/>
  <c r="V5" i="6" s="1"/>
  <c r="G19" i="6"/>
  <c r="N19" i="6" s="1"/>
  <c r="AG19" i="6" s="1"/>
  <c r="F20" i="6"/>
  <c r="M20" i="6" s="1"/>
  <c r="V20" i="6" s="1"/>
  <c r="F22" i="6"/>
  <c r="M22" i="6" s="1"/>
  <c r="V22" i="6" s="1"/>
  <c r="W6" i="12"/>
  <c r="F14" i="6"/>
  <c r="M14" i="6" s="1"/>
  <c r="AF14" i="6" s="1"/>
  <c r="F4" i="6"/>
  <c r="M4" i="6" s="1"/>
  <c r="F6" i="6"/>
  <c r="M6" i="6" s="1"/>
  <c r="V6" i="6" s="1"/>
  <c r="F15" i="6"/>
  <c r="M15" i="6" s="1"/>
  <c r="V15" i="6" s="1"/>
  <c r="O28" i="6"/>
  <c r="X9" i="6"/>
  <c r="AH9" i="6"/>
  <c r="X14" i="6"/>
  <c r="AH14" i="6"/>
  <c r="AH21" i="6"/>
  <c r="X21" i="6"/>
  <c r="F21" i="6"/>
  <c r="M21" i="6" s="1"/>
  <c r="AH12" i="6"/>
  <c r="X12" i="6"/>
  <c r="F16" i="6"/>
  <c r="M16" i="6" s="1"/>
  <c r="AH18" i="6"/>
  <c r="X18" i="6"/>
  <c r="F7" i="6"/>
  <c r="M7" i="6" s="1"/>
  <c r="F9" i="6"/>
  <c r="M9" i="6" s="1"/>
  <c r="F18" i="6"/>
  <c r="M18" i="6" s="1"/>
  <c r="X7" i="6"/>
  <c r="AH7" i="6"/>
  <c r="X10" i="6"/>
  <c r="AH10" i="6"/>
  <c r="AH11" i="6"/>
  <c r="X11" i="6"/>
  <c r="V10" i="6"/>
  <c r="C19" i="6"/>
  <c r="K19" i="6" s="1"/>
  <c r="X13" i="6"/>
  <c r="AH13" i="6"/>
  <c r="X24" i="6"/>
  <c r="AH24" i="6"/>
  <c r="AH8" i="6"/>
  <c r="X6" i="6"/>
  <c r="AH6" i="6"/>
  <c r="W37" i="12"/>
  <c r="W31" i="12"/>
  <c r="W15" i="12"/>
  <c r="W34" i="12"/>
  <c r="W27" i="12"/>
  <c r="W44" i="12"/>
  <c r="W22" i="12"/>
  <c r="W23" i="12"/>
  <c r="W12" i="12"/>
  <c r="W42" i="12"/>
  <c r="W28" i="12"/>
  <c r="W8" i="12"/>
  <c r="W29" i="12"/>
  <c r="W16" i="12"/>
  <c r="W40" i="12"/>
  <c r="W32" i="12"/>
  <c r="W39" i="12"/>
  <c r="W10" i="12"/>
  <c r="W14" i="12"/>
  <c r="W11" i="12"/>
  <c r="W13" i="12"/>
  <c r="W21" i="12"/>
  <c r="W35" i="12"/>
  <c r="W33" i="12"/>
  <c r="W9" i="12"/>
  <c r="W17" i="12"/>
  <c r="W19" i="12"/>
  <c r="W24" i="12"/>
  <c r="W30" i="12"/>
  <c r="F13" i="6"/>
  <c r="M13" i="6" s="1"/>
  <c r="AH26" i="6"/>
  <c r="AH16" i="6"/>
  <c r="W43" i="12"/>
  <c r="W26" i="12"/>
  <c r="W25" i="12"/>
  <c r="F11" i="6"/>
  <c r="M11" i="6" s="1"/>
  <c r="F27" i="6"/>
  <c r="M27" i="6" s="1"/>
  <c r="X27" i="6"/>
  <c r="AH27" i="6"/>
  <c r="X22" i="6"/>
  <c r="AH22" i="6"/>
  <c r="W36" i="12"/>
  <c r="W18" i="12"/>
  <c r="W20" i="12"/>
  <c r="W46" i="12"/>
  <c r="W48" i="12"/>
  <c r="W41" i="12"/>
  <c r="W47" i="12"/>
  <c r="D8" i="11" l="1"/>
  <c r="X4" i="6"/>
  <c r="X28" i="6" s="1"/>
  <c r="V24" i="6"/>
  <c r="AF23" i="6"/>
  <c r="V17" i="6"/>
  <c r="V14" i="6"/>
  <c r="W19" i="6"/>
  <c r="V12" i="6"/>
  <c r="AF19" i="6"/>
  <c r="AF22" i="6"/>
  <c r="AF26" i="6"/>
  <c r="V25" i="6"/>
  <c r="U19" i="6"/>
  <c r="S19" i="6"/>
  <c r="AF8" i="6"/>
  <c r="AF5" i="6"/>
  <c r="AF6" i="6"/>
  <c r="W49" i="12"/>
  <c r="X50" i="12" s="1"/>
  <c r="AF20" i="6"/>
  <c r="AF15" i="6"/>
  <c r="V7" i="6"/>
  <c r="AF7" i="6"/>
  <c r="AF16" i="6"/>
  <c r="V16" i="6"/>
  <c r="V21" i="6"/>
  <c r="AF21" i="6"/>
  <c r="AF27" i="6"/>
  <c r="V27" i="6"/>
  <c r="V13" i="6"/>
  <c r="AF13" i="6"/>
  <c r="V9" i="6"/>
  <c r="AF9" i="6"/>
  <c r="V11" i="6"/>
  <c r="AF11" i="6"/>
  <c r="AD19" i="6"/>
  <c r="T19" i="6"/>
  <c r="F28" i="6"/>
  <c r="AC6" i="12"/>
  <c r="V18" i="6"/>
  <c r="AF18" i="6"/>
  <c r="M28" i="6"/>
  <c r="V4" i="6"/>
  <c r="AF4" i="6"/>
  <c r="P19" i="6"/>
  <c r="AH28" i="6"/>
  <c r="B8" i="11" l="1"/>
  <c r="C8" i="11"/>
  <c r="D6" i="11"/>
  <c r="V28" i="6"/>
  <c r="Y19" i="6"/>
  <c r="AI19" i="6"/>
  <c r="AF28" i="6"/>
  <c r="B6" i="11" l="1"/>
  <c r="C6" i="11"/>
  <c r="AD6" i="3"/>
  <c r="B6" i="3"/>
  <c r="AB6" i="1"/>
  <c r="R6" i="3"/>
  <c r="D6" i="3"/>
  <c r="AA22" i="1"/>
  <c r="Q22" i="3" s="1"/>
  <c r="D20" i="6" s="1"/>
  <c r="L20" i="6" s="1"/>
  <c r="Z6" i="1"/>
  <c r="P6" i="3" s="1"/>
  <c r="B7" i="3"/>
  <c r="C4" i="6" l="1"/>
  <c r="K4" i="6" s="1"/>
  <c r="AD4" i="6" s="1"/>
  <c r="D22" i="3"/>
  <c r="AB22" i="1"/>
  <c r="R22" i="3" s="1"/>
  <c r="AD22" i="3"/>
  <c r="Z8" i="1"/>
  <c r="P8" i="3" s="1"/>
  <c r="B8" i="3"/>
  <c r="Z22" i="1"/>
  <c r="P22" i="3" s="1"/>
  <c r="B22" i="3"/>
  <c r="AB22" i="3"/>
  <c r="D7" i="3"/>
  <c r="AB7" i="1"/>
  <c r="R7" i="3" s="1"/>
  <c r="AD7" i="3"/>
  <c r="C6" i="3"/>
  <c r="B4" i="6" s="1"/>
  <c r="AC6" i="3"/>
  <c r="AA6" i="1"/>
  <c r="Q6" i="3" s="1"/>
  <c r="D4" i="6" s="1"/>
  <c r="Z7" i="1"/>
  <c r="P7" i="3" s="1"/>
  <c r="AB8" i="3"/>
  <c r="AE20" i="6"/>
  <c r="U20" i="6"/>
  <c r="AB7" i="3"/>
  <c r="AB6" i="3"/>
  <c r="C22" i="3"/>
  <c r="AC22" i="3"/>
  <c r="G4" i="6" l="1"/>
  <c r="N4" i="6" s="1"/>
  <c r="AG4" i="6" s="1"/>
  <c r="C20" i="6"/>
  <c r="K20" i="6" s="1"/>
  <c r="AD20" i="6" s="1"/>
  <c r="B20" i="6"/>
  <c r="J20" i="6" s="1"/>
  <c r="S20" i="6" s="1"/>
  <c r="C5" i="6"/>
  <c r="K5" i="6" s="1"/>
  <c r="AD5" i="6" s="1"/>
  <c r="T4" i="6"/>
  <c r="J4" i="6"/>
  <c r="L4" i="6"/>
  <c r="AE4" i="6" s="1"/>
  <c r="C23" i="3"/>
  <c r="AA23" i="1"/>
  <c r="Q23" i="3" s="1"/>
  <c r="D21" i="6" s="1"/>
  <c r="L21" i="6" s="1"/>
  <c r="AC23" i="3"/>
  <c r="C7" i="3"/>
  <c r="B5" i="6" s="1"/>
  <c r="J5" i="6" s="1"/>
  <c r="AA7" i="1"/>
  <c r="Q7" i="3" s="1"/>
  <c r="D5" i="6" s="1"/>
  <c r="L5" i="6" s="1"/>
  <c r="AC7" i="3"/>
  <c r="G5" i="6" s="1"/>
  <c r="N5" i="6" s="1"/>
  <c r="AB23" i="3"/>
  <c r="Z23" i="1"/>
  <c r="P23" i="3" s="1"/>
  <c r="B23" i="3"/>
  <c r="D23" i="3"/>
  <c r="AD23" i="3"/>
  <c r="AB23" i="1"/>
  <c r="R23" i="3" s="1"/>
  <c r="D8" i="3"/>
  <c r="AB8" i="1"/>
  <c r="R8" i="3" s="1"/>
  <c r="C6" i="6" s="1"/>
  <c r="K6" i="6" s="1"/>
  <c r="AD8" i="3"/>
  <c r="G20" i="6"/>
  <c r="N20" i="6" s="1"/>
  <c r="Z9" i="1"/>
  <c r="P9" i="3" s="1"/>
  <c r="B9" i="3"/>
  <c r="AB9" i="3"/>
  <c r="U4" i="6" l="1"/>
  <c r="AC20" i="6"/>
  <c r="T5" i="6"/>
  <c r="T20" i="6"/>
  <c r="P4" i="6"/>
  <c r="P20" i="6"/>
  <c r="AC4" i="6"/>
  <c r="AI4" i="6" s="1"/>
  <c r="W4" i="6"/>
  <c r="G21" i="6"/>
  <c r="N21" i="6" s="1"/>
  <c r="W21" i="6" s="1"/>
  <c r="S4" i="6"/>
  <c r="AD6" i="6"/>
  <c r="T6" i="6"/>
  <c r="AG21" i="6"/>
  <c r="S5" i="6"/>
  <c r="AC5" i="6"/>
  <c r="P5" i="6"/>
  <c r="U21" i="6"/>
  <c r="AE21" i="6"/>
  <c r="AG5" i="6"/>
  <c r="W5" i="6"/>
  <c r="W20" i="6"/>
  <c r="AG20" i="6"/>
  <c r="AI20" i="6" s="1"/>
  <c r="B24" i="3"/>
  <c r="AB24" i="3"/>
  <c r="Z24" i="1"/>
  <c r="P24" i="3" s="1"/>
  <c r="B21" i="6"/>
  <c r="J21" i="6" s="1"/>
  <c r="AC8" i="3"/>
  <c r="G6" i="6" s="1"/>
  <c r="N6" i="6" s="1"/>
  <c r="C8" i="3"/>
  <c r="B6" i="6" s="1"/>
  <c r="AA8" i="1"/>
  <c r="Q8" i="3" s="1"/>
  <c r="D6" i="6" s="1"/>
  <c r="L6" i="6" s="1"/>
  <c r="AB10" i="3"/>
  <c r="Z10" i="1"/>
  <c r="P10" i="3" s="1"/>
  <c r="B10" i="3"/>
  <c r="AB9" i="1"/>
  <c r="R9" i="3" s="1"/>
  <c r="C7" i="6" s="1"/>
  <c r="K7" i="6" s="1"/>
  <c r="AD9" i="3"/>
  <c r="D9" i="3"/>
  <c r="AD24" i="3"/>
  <c r="AB24" i="1"/>
  <c r="R24" i="3" s="1"/>
  <c r="D24" i="3"/>
  <c r="C21" i="6"/>
  <c r="K21" i="6" s="1"/>
  <c r="U5" i="6"/>
  <c r="AE5" i="6"/>
  <c r="C24" i="3"/>
  <c r="AC24" i="3"/>
  <c r="AA24" i="1"/>
  <c r="Q24" i="3" s="1"/>
  <c r="D22" i="6" s="1"/>
  <c r="L22" i="6" s="1"/>
  <c r="Y20" i="6" l="1"/>
  <c r="Y4" i="6"/>
  <c r="C22" i="6"/>
  <c r="K22" i="6" s="1"/>
  <c r="T22" i="6" s="1"/>
  <c r="J6" i="6"/>
  <c r="P6" i="6" s="1"/>
  <c r="D25" i="3"/>
  <c r="AB25" i="1"/>
  <c r="R25" i="3" s="1"/>
  <c r="AD25" i="3"/>
  <c r="AB11" i="3"/>
  <c r="Z11" i="1"/>
  <c r="P11" i="3" s="1"/>
  <c r="B11" i="3"/>
  <c r="W6" i="6"/>
  <c r="AG6" i="6"/>
  <c r="B22" i="6"/>
  <c r="J22" i="6" s="1"/>
  <c r="AC25" i="3"/>
  <c r="C25" i="3"/>
  <c r="AA25" i="1"/>
  <c r="Q25" i="3" s="1"/>
  <c r="D23" i="6" s="1"/>
  <c r="L23" i="6" s="1"/>
  <c r="D10" i="3"/>
  <c r="AD10" i="3"/>
  <c r="AB10" i="1"/>
  <c r="R10" i="3" s="1"/>
  <c r="AC9" i="3"/>
  <c r="G7" i="6" s="1"/>
  <c r="N7" i="6" s="1"/>
  <c r="C9" i="3"/>
  <c r="B7" i="6" s="1"/>
  <c r="J7" i="6" s="1"/>
  <c r="AA9" i="1"/>
  <c r="Q9" i="3" s="1"/>
  <c r="D7" i="6" s="1"/>
  <c r="L7" i="6" s="1"/>
  <c r="P21" i="6"/>
  <c r="AC21" i="6"/>
  <c r="S21" i="6"/>
  <c r="AI5" i="6"/>
  <c r="T7" i="6"/>
  <c r="AD7" i="6"/>
  <c r="U22" i="6"/>
  <c r="AE22" i="6"/>
  <c r="C8" i="6"/>
  <c r="K8" i="6" s="1"/>
  <c r="AE6" i="6"/>
  <c r="U6" i="6"/>
  <c r="B25" i="3"/>
  <c r="AB25" i="3"/>
  <c r="Z25" i="1"/>
  <c r="P25" i="3" s="1"/>
  <c r="Y5" i="6"/>
  <c r="T21" i="6"/>
  <c r="AD21" i="6"/>
  <c r="G22" i="6"/>
  <c r="N22" i="6" s="1"/>
  <c r="AD22" i="6" l="1"/>
  <c r="B23" i="6"/>
  <c r="J23" i="6" s="1"/>
  <c r="S23" i="6" s="1"/>
  <c r="AC6" i="6"/>
  <c r="AI6" i="6" s="1"/>
  <c r="S6" i="6"/>
  <c r="B26" i="3"/>
  <c r="Z26" i="1"/>
  <c r="P26" i="3" s="1"/>
  <c r="AB26" i="3"/>
  <c r="AE7" i="6"/>
  <c r="U7" i="6"/>
  <c r="G23" i="6"/>
  <c r="N23" i="6" s="1"/>
  <c r="AD8" i="6"/>
  <c r="T8" i="6"/>
  <c r="Y21" i="6"/>
  <c r="C10" i="3"/>
  <c r="B8" i="6" s="1"/>
  <c r="AA10" i="1"/>
  <c r="Q10" i="3" s="1"/>
  <c r="D8" i="6" s="1"/>
  <c r="L8" i="6" s="1"/>
  <c r="AC10" i="3"/>
  <c r="G8" i="6" s="1"/>
  <c r="N8" i="6" s="1"/>
  <c r="D11" i="3"/>
  <c r="AB11" i="1"/>
  <c r="R11" i="3" s="1"/>
  <c r="C9" i="6" s="1"/>
  <c r="K9" i="6" s="1"/>
  <c r="AD11" i="3"/>
  <c r="AC26" i="3"/>
  <c r="C26" i="3"/>
  <c r="AA26" i="1"/>
  <c r="Q26" i="3" s="1"/>
  <c r="D24" i="6" s="1"/>
  <c r="L24" i="6" s="1"/>
  <c r="P22" i="6"/>
  <c r="S22" i="6"/>
  <c r="AC22" i="6"/>
  <c r="B12" i="3"/>
  <c r="Z12" i="1"/>
  <c r="P12" i="3" s="1"/>
  <c r="AB12" i="3"/>
  <c r="AI21" i="6"/>
  <c r="S7" i="6"/>
  <c r="P7" i="6"/>
  <c r="AC7" i="6"/>
  <c r="U23" i="6"/>
  <c r="AE23" i="6"/>
  <c r="W22" i="6"/>
  <c r="AG22" i="6"/>
  <c r="C23" i="6"/>
  <c r="K23" i="6" s="1"/>
  <c r="W7" i="6"/>
  <c r="AG7" i="6"/>
  <c r="D26" i="3"/>
  <c r="AD26" i="3"/>
  <c r="AB26" i="1"/>
  <c r="R26" i="3" s="1"/>
  <c r="AC23" i="6" l="1"/>
  <c r="G24" i="6"/>
  <c r="N24" i="6" s="1"/>
  <c r="W24" i="6" s="1"/>
  <c r="Y6" i="6"/>
  <c r="J8" i="6"/>
  <c r="AC8" i="6" s="1"/>
  <c r="Y7" i="6"/>
  <c r="T9" i="6"/>
  <c r="AD9" i="6"/>
  <c r="T23" i="6"/>
  <c r="AD23" i="6"/>
  <c r="P23" i="6"/>
  <c r="C27" i="3"/>
  <c r="AC27" i="3"/>
  <c r="AA27" i="1"/>
  <c r="Q27" i="3" s="1"/>
  <c r="D25" i="6" s="1"/>
  <c r="L25" i="6" s="1"/>
  <c r="AG8" i="6"/>
  <c r="W8" i="6"/>
  <c r="Z27" i="1"/>
  <c r="P27" i="3" s="1"/>
  <c r="B27" i="3"/>
  <c r="AB27" i="3"/>
  <c r="AB27" i="1"/>
  <c r="R27" i="3" s="1"/>
  <c r="AD27" i="3"/>
  <c r="D27" i="3"/>
  <c r="AI22" i="6"/>
  <c r="U24" i="6"/>
  <c r="AE24" i="6"/>
  <c r="C11" i="3"/>
  <c r="B9" i="6" s="1"/>
  <c r="J9" i="6" s="1"/>
  <c r="AC11" i="3"/>
  <c r="G9" i="6" s="1"/>
  <c r="N9" i="6" s="1"/>
  <c r="AA11" i="1"/>
  <c r="Q11" i="3" s="1"/>
  <c r="D9" i="6" s="1"/>
  <c r="AI7" i="6"/>
  <c r="Z13" i="1"/>
  <c r="P13" i="3" s="1"/>
  <c r="AB13" i="3"/>
  <c r="B13" i="3"/>
  <c r="Y22" i="6"/>
  <c r="D12" i="3"/>
  <c r="AD12" i="3"/>
  <c r="AB12" i="1"/>
  <c r="R12" i="3" s="1"/>
  <c r="U8" i="6"/>
  <c r="AE8" i="6"/>
  <c r="C24" i="6"/>
  <c r="K24" i="6" s="1"/>
  <c r="C10" i="6"/>
  <c r="K10" i="6" s="1"/>
  <c r="W23" i="6"/>
  <c r="AG23" i="6"/>
  <c r="B24" i="6"/>
  <c r="J24" i="6" s="1"/>
  <c r="P8" i="6" l="1"/>
  <c r="S8" i="6"/>
  <c r="Y8" i="6" s="1"/>
  <c r="AG24" i="6"/>
  <c r="AI23" i="6"/>
  <c r="G25" i="6"/>
  <c r="N25" i="6" s="1"/>
  <c r="W25" i="6" s="1"/>
  <c r="L9" i="6"/>
  <c r="AE9" i="6" s="1"/>
  <c r="Y23" i="6"/>
  <c r="P24" i="6"/>
  <c r="AC24" i="6"/>
  <c r="S24" i="6"/>
  <c r="T24" i="6"/>
  <c r="AD24" i="6"/>
  <c r="C28" i="3"/>
  <c r="AC28" i="3"/>
  <c r="AA28" i="1"/>
  <c r="Q28" i="3" s="1"/>
  <c r="D26" i="6" s="1"/>
  <c r="L26" i="6" s="1"/>
  <c r="AB13" i="1"/>
  <c r="R13" i="3" s="1"/>
  <c r="C11" i="6" s="1"/>
  <c r="K11" i="6" s="1"/>
  <c r="AD13" i="3"/>
  <c r="D13" i="3"/>
  <c r="AA12" i="1"/>
  <c r="Q12" i="3" s="1"/>
  <c r="D10" i="6" s="1"/>
  <c r="L10" i="6" s="1"/>
  <c r="AC12" i="3"/>
  <c r="G10" i="6" s="1"/>
  <c r="N10" i="6" s="1"/>
  <c r="C12" i="3"/>
  <c r="B10" i="6" s="1"/>
  <c r="J10" i="6" s="1"/>
  <c r="AB28" i="1"/>
  <c r="R28" i="3" s="1"/>
  <c r="AD28" i="3"/>
  <c r="D28" i="3"/>
  <c r="AB28" i="3"/>
  <c r="B28" i="3"/>
  <c r="Z28" i="1"/>
  <c r="P28" i="3" s="1"/>
  <c r="AD10" i="6"/>
  <c r="T10" i="6"/>
  <c r="Z14" i="1"/>
  <c r="P14" i="3" s="1"/>
  <c r="B14" i="3"/>
  <c r="AB14" i="3"/>
  <c r="AG9" i="6"/>
  <c r="W9" i="6"/>
  <c r="B25" i="6"/>
  <c r="J25" i="6" s="1"/>
  <c r="AE25" i="6"/>
  <c r="U25" i="6"/>
  <c r="AI8" i="6"/>
  <c r="S9" i="6"/>
  <c r="AC9" i="6"/>
  <c r="C25" i="6"/>
  <c r="K25" i="6" s="1"/>
  <c r="P9" i="6" l="1"/>
  <c r="AG25" i="6"/>
  <c r="C26" i="6"/>
  <c r="K26" i="6" s="1"/>
  <c r="T26" i="6" s="1"/>
  <c r="U9" i="6"/>
  <c r="Y9" i="6" s="1"/>
  <c r="AI24" i="6"/>
  <c r="AI9" i="6"/>
  <c r="AD11" i="6"/>
  <c r="T11" i="6"/>
  <c r="C13" i="3"/>
  <c r="B11" i="6" s="1"/>
  <c r="J11" i="6" s="1"/>
  <c r="AA13" i="1"/>
  <c r="Q13" i="3" s="1"/>
  <c r="D11" i="6" s="1"/>
  <c r="L11" i="6" s="1"/>
  <c r="AC13" i="3"/>
  <c r="G11" i="6" s="1"/>
  <c r="N11" i="6" s="1"/>
  <c r="AC29" i="3"/>
  <c r="AA29" i="1"/>
  <c r="Q29" i="3" s="1"/>
  <c r="D27" i="6" s="1"/>
  <c r="C29" i="3"/>
  <c r="Z29" i="1"/>
  <c r="P29" i="3" s="1"/>
  <c r="AB29" i="3"/>
  <c r="B29" i="3"/>
  <c r="P10" i="6"/>
  <c r="AC10" i="6"/>
  <c r="S10" i="6"/>
  <c r="Y24" i="6"/>
  <c r="Z15" i="1"/>
  <c r="P15" i="3" s="1"/>
  <c r="B15" i="3"/>
  <c r="AB15" i="3"/>
  <c r="B26" i="6"/>
  <c r="J26" i="6" s="1"/>
  <c r="AG10" i="6"/>
  <c r="W10" i="6"/>
  <c r="D14" i="3"/>
  <c r="AB14" i="1"/>
  <c r="R14" i="3" s="1"/>
  <c r="C12" i="6" s="1"/>
  <c r="K12" i="6" s="1"/>
  <c r="AD14" i="3"/>
  <c r="AE26" i="6"/>
  <c r="U26" i="6"/>
  <c r="T25" i="6"/>
  <c r="AD25" i="6"/>
  <c r="AC25" i="6"/>
  <c r="P25" i="6"/>
  <c r="S25" i="6"/>
  <c r="Y25" i="6" s="1"/>
  <c r="G26" i="6"/>
  <c r="N26" i="6" s="1"/>
  <c r="D29" i="3"/>
  <c r="AD29" i="3"/>
  <c r="AB29" i="1"/>
  <c r="R29" i="3" s="1"/>
  <c r="AE10" i="6"/>
  <c r="U10" i="6"/>
  <c r="AD26" i="6" l="1"/>
  <c r="B27" i="6"/>
  <c r="J27" i="6" s="1"/>
  <c r="AC27" i="6" s="1"/>
  <c r="L27" i="6"/>
  <c r="U27" i="6" s="1"/>
  <c r="T12" i="6"/>
  <c r="AD12" i="6"/>
  <c r="AB15" i="1"/>
  <c r="R15" i="3" s="1"/>
  <c r="C13" i="6" s="1"/>
  <c r="K13" i="6" s="1"/>
  <c r="AD15" i="3"/>
  <c r="D15" i="3"/>
  <c r="C14" i="3"/>
  <c r="B12" i="6" s="1"/>
  <c r="J12" i="6" s="1"/>
  <c r="AC14" i="3"/>
  <c r="G12" i="6" s="1"/>
  <c r="N12" i="6" s="1"/>
  <c r="AA14" i="1"/>
  <c r="Q14" i="3" s="1"/>
  <c r="D12" i="6" s="1"/>
  <c r="L12" i="6" s="1"/>
  <c r="AB16" i="3"/>
  <c r="Z16" i="1"/>
  <c r="P16" i="3" s="1"/>
  <c r="B16" i="3"/>
  <c r="Y10" i="6"/>
  <c r="G27" i="6"/>
  <c r="AE11" i="6"/>
  <c r="U11" i="6"/>
  <c r="P26" i="6"/>
  <c r="AC26" i="6"/>
  <c r="S26" i="6"/>
  <c r="AI10" i="6"/>
  <c r="C27" i="6"/>
  <c r="S11" i="6"/>
  <c r="AC11" i="6"/>
  <c r="P11" i="6"/>
  <c r="W26" i="6"/>
  <c r="AG26" i="6"/>
  <c r="AI25" i="6"/>
  <c r="AG11" i="6"/>
  <c r="W11" i="6"/>
  <c r="S27" i="6" l="1"/>
  <c r="AE27" i="6"/>
  <c r="K27" i="6"/>
  <c r="T27" i="6" s="1"/>
  <c r="N27" i="6"/>
  <c r="AG27" i="6" s="1"/>
  <c r="AI11" i="6"/>
  <c r="Y26" i="6"/>
  <c r="T13" i="6"/>
  <c r="AD13" i="6"/>
  <c r="Z17" i="1"/>
  <c r="P17" i="3" s="1"/>
  <c r="AB17" i="3"/>
  <c r="B17" i="3"/>
  <c r="W12" i="6"/>
  <c r="AG12" i="6"/>
  <c r="Y11" i="6"/>
  <c r="P12" i="6"/>
  <c r="S12" i="6"/>
  <c r="AC12" i="6"/>
  <c r="AI26" i="6"/>
  <c r="C15" i="3"/>
  <c r="B13" i="6" s="1"/>
  <c r="J13" i="6" s="1"/>
  <c r="AC15" i="3"/>
  <c r="G13" i="6" s="1"/>
  <c r="N13" i="6" s="1"/>
  <c r="AA15" i="1"/>
  <c r="Q15" i="3" s="1"/>
  <c r="D13" i="6" s="1"/>
  <c r="D16" i="3"/>
  <c r="AD16" i="3"/>
  <c r="AB16" i="1"/>
  <c r="R16" i="3" s="1"/>
  <c r="C14" i="6"/>
  <c r="K14" i="6" s="1"/>
  <c r="U12" i="6"/>
  <c r="AE12" i="6"/>
  <c r="AD27" i="6" l="1"/>
  <c r="P27" i="6"/>
  <c r="W27" i="6"/>
  <c r="L13" i="6"/>
  <c r="AE13" i="6" s="1"/>
  <c r="AI27" i="6"/>
  <c r="AI12" i="6"/>
  <c r="AB18" i="3"/>
  <c r="B18" i="3"/>
  <c r="Z18" i="1"/>
  <c r="P18" i="3" s="1"/>
  <c r="AG13" i="6"/>
  <c r="W13" i="6"/>
  <c r="Y12" i="6"/>
  <c r="T14" i="6"/>
  <c r="AD14" i="6"/>
  <c r="D17" i="3"/>
  <c r="AD17" i="3"/>
  <c r="AB17" i="1"/>
  <c r="R17" i="3" s="1"/>
  <c r="C15" i="6" s="1"/>
  <c r="K15" i="6" s="1"/>
  <c r="C16" i="3"/>
  <c r="B14" i="6" s="1"/>
  <c r="J14" i="6" s="1"/>
  <c r="AC16" i="3"/>
  <c r="G14" i="6" s="1"/>
  <c r="N14" i="6" s="1"/>
  <c r="AA16" i="1"/>
  <c r="Q16" i="3" s="1"/>
  <c r="D14" i="6" s="1"/>
  <c r="L14" i="6" s="1"/>
  <c r="S13" i="6"/>
  <c r="AC13" i="6"/>
  <c r="P13" i="6" l="1"/>
  <c r="U13" i="6"/>
  <c r="Y13" i="6" s="1"/>
  <c r="AI13" i="6"/>
  <c r="Y27" i="6"/>
  <c r="AE14" i="6"/>
  <c r="U14" i="6"/>
  <c r="AG14" i="6"/>
  <c r="W14" i="6"/>
  <c r="D18" i="3"/>
  <c r="AD18" i="3"/>
  <c r="AB18" i="1"/>
  <c r="R18" i="3" s="1"/>
  <c r="C16" i="6" s="1"/>
  <c r="AB19" i="3"/>
  <c r="B19" i="3"/>
  <c r="Z19" i="1"/>
  <c r="P19" i="3" s="1"/>
  <c r="T15" i="6"/>
  <c r="AD15" i="6"/>
  <c r="S14" i="6"/>
  <c r="AC14" i="6"/>
  <c r="P14" i="6"/>
  <c r="AA17" i="1"/>
  <c r="Q17" i="3" s="1"/>
  <c r="D15" i="6" s="1"/>
  <c r="L15" i="6" s="1"/>
  <c r="C17" i="3"/>
  <c r="B15" i="6" s="1"/>
  <c r="AC17" i="3"/>
  <c r="G15" i="6" s="1"/>
  <c r="N15" i="6" s="1"/>
  <c r="J15" i="6" l="1"/>
  <c r="P15" i="6" s="1"/>
  <c r="Y14" i="6"/>
  <c r="K16" i="6"/>
  <c r="T16" i="6" s="1"/>
  <c r="AE15" i="6"/>
  <c r="U15" i="6"/>
  <c r="AC18" i="3"/>
  <c r="G16" i="6" s="1"/>
  <c r="N16" i="6" s="1"/>
  <c r="AA18" i="1"/>
  <c r="Q18" i="3" s="1"/>
  <c r="D16" i="6" s="1"/>
  <c r="C18" i="3"/>
  <c r="B16" i="6" s="1"/>
  <c r="J16" i="6" s="1"/>
  <c r="D19" i="3"/>
  <c r="AD19" i="3"/>
  <c r="AB19" i="1"/>
  <c r="R19" i="3" s="1"/>
  <c r="C17" i="6" s="1"/>
  <c r="K17" i="6" s="1"/>
  <c r="W15" i="6"/>
  <c r="AG15" i="6"/>
  <c r="AI14" i="6"/>
  <c r="Z20" i="1"/>
  <c r="P20" i="3" s="1"/>
  <c r="AB20" i="3"/>
  <c r="B20" i="3"/>
  <c r="S15" i="6" l="1"/>
  <c r="Y15" i="6" s="1"/>
  <c r="AD16" i="6"/>
  <c r="AC15" i="6"/>
  <c r="L16" i="6"/>
  <c r="AE16" i="6" s="1"/>
  <c r="AG16" i="6"/>
  <c r="W16" i="6"/>
  <c r="AI15" i="6"/>
  <c r="S16" i="6"/>
  <c r="AC16" i="6"/>
  <c r="AD17" i="6"/>
  <c r="T17" i="6"/>
  <c r="D20" i="3"/>
  <c r="AB20" i="1"/>
  <c r="R20" i="3" s="1"/>
  <c r="C18" i="6" s="1"/>
  <c r="AD20" i="3"/>
  <c r="C19" i="3"/>
  <c r="B17" i="6" s="1"/>
  <c r="AC19" i="3"/>
  <c r="G17" i="6" s="1"/>
  <c r="N17" i="6" s="1"/>
  <c r="AA19" i="1"/>
  <c r="Q19" i="3" s="1"/>
  <c r="D17" i="6" s="1"/>
  <c r="L17" i="6" s="1"/>
  <c r="P16" i="6" l="1"/>
  <c r="U16" i="6"/>
  <c r="J17" i="6"/>
  <c r="AC17" i="6" s="1"/>
  <c r="K18" i="6"/>
  <c r="K28" i="6" s="1"/>
  <c r="C28" i="6"/>
  <c r="C20" i="3"/>
  <c r="B18" i="6" s="1"/>
  <c r="J18" i="6" s="1"/>
  <c r="AC20" i="3"/>
  <c r="G18" i="6" s="1"/>
  <c r="AA20" i="1"/>
  <c r="Q20" i="3" s="1"/>
  <c r="D18" i="6" s="1"/>
  <c r="L18" i="6" s="1"/>
  <c r="L28" i="6" s="1"/>
  <c r="AI16" i="6"/>
  <c r="Y16" i="6"/>
  <c r="U17" i="6"/>
  <c r="AE17" i="6"/>
  <c r="W17" i="6"/>
  <c r="AG17" i="6"/>
  <c r="D4" i="11" l="1"/>
  <c r="D5" i="11"/>
  <c r="T18" i="6"/>
  <c r="T28" i="6" s="1"/>
  <c r="S17" i="6"/>
  <c r="Y17" i="6" s="1"/>
  <c r="J28" i="6"/>
  <c r="D28" i="6"/>
  <c r="P17" i="6"/>
  <c r="N18" i="6"/>
  <c r="N28" i="6" s="1"/>
  <c r="G28" i="6"/>
  <c r="AD18" i="6"/>
  <c r="AD28" i="6" s="1"/>
  <c r="AD31" i="6" s="1"/>
  <c r="B28" i="6"/>
  <c r="AE18" i="6"/>
  <c r="AE28" i="6" s="1"/>
  <c r="U18" i="6"/>
  <c r="U28" i="6" s="1"/>
  <c r="AI17" i="6"/>
  <c r="AC18" i="6"/>
  <c r="AC28" i="6" s="1"/>
  <c r="AC31" i="6" s="1"/>
  <c r="S18" i="6"/>
  <c r="C3" i="11" l="1"/>
  <c r="C4" i="11"/>
  <c r="B5" i="11"/>
  <c r="D3" i="11"/>
  <c r="C5" i="11"/>
  <c r="D7" i="11"/>
  <c r="B4" i="11"/>
  <c r="S28" i="6"/>
  <c r="W18" i="6"/>
  <c r="W28" i="6" s="1"/>
  <c r="P18" i="6"/>
  <c r="P28" i="6" s="1"/>
  <c r="AG18" i="6"/>
  <c r="AG28" i="6" s="1"/>
  <c r="AG31" i="6" s="1"/>
  <c r="D25" i="11" l="1"/>
  <c r="D28" i="11" s="1"/>
  <c r="B7" i="11"/>
  <c r="B3" i="11"/>
  <c r="B9" i="11" s="1"/>
  <c r="C7" i="11"/>
  <c r="Y18" i="6"/>
  <c r="Y28" i="6" s="1"/>
  <c r="AI18" i="6"/>
  <c r="AI28" i="6" s="1"/>
  <c r="AI33" i="6" l="1"/>
  <c r="AI31" i="6"/>
  <c r="AI35" i="6" s="1"/>
  <c r="C25" i="11"/>
  <c r="C28" i="11" s="1"/>
  <c r="B25" i="11"/>
  <c r="B28" i="11" s="1"/>
  <c r="D9" i="11"/>
  <c r="D17" i="11" s="1"/>
  <c r="B17" i="11"/>
  <c r="C9" i="11"/>
  <c r="D20" i="11" l="1"/>
  <c r="B20" i="11"/>
  <c r="C17" i="11"/>
  <c r="C20" i="11"/>
</calcChain>
</file>

<file path=xl/sharedStrings.xml><?xml version="1.0" encoding="utf-8"?>
<sst xmlns="http://schemas.openxmlformats.org/spreadsheetml/2006/main" count="1612" uniqueCount="373">
  <si>
    <t>Year</t>
  </si>
  <si>
    <t>Trucks</t>
  </si>
  <si>
    <t>Trips</t>
  </si>
  <si>
    <t>Base Scenario</t>
  </si>
  <si>
    <t>Project Scenario</t>
  </si>
  <si>
    <t>Mode</t>
  </si>
  <si>
    <t>Total</t>
  </si>
  <si>
    <t>Base</t>
  </si>
  <si>
    <t>VHT</t>
  </si>
  <si>
    <t>Facility</t>
  </si>
  <si>
    <t>Purpose</t>
  </si>
  <si>
    <t>Road</t>
  </si>
  <si>
    <t>Passenger Car</t>
  </si>
  <si>
    <t>Business</t>
  </si>
  <si>
    <t>Personal</t>
  </si>
  <si>
    <t>All Trucks</t>
  </si>
  <si>
    <t>Freight</t>
  </si>
  <si>
    <t>Gasoline</t>
  </si>
  <si>
    <t>Diesel</t>
  </si>
  <si>
    <t>Avg. Occupancy</t>
  </si>
  <si>
    <t>Psgr Car Business</t>
  </si>
  <si>
    <t>Psgr Car Personal</t>
  </si>
  <si>
    <t>Total VMT</t>
  </si>
  <si>
    <t>Tons per VHT (Congested) PM</t>
  </si>
  <si>
    <t>Tons per VHT (Congested) SOX</t>
  </si>
  <si>
    <t>Tons per VHT (Congested) NOX</t>
  </si>
  <si>
    <t>Tons per VHT (Congested) VOC</t>
  </si>
  <si>
    <t>$ per Property Damage Accident</t>
  </si>
  <si>
    <t>$ per Personal Injury</t>
  </si>
  <si>
    <t>$ per Fatality</t>
  </si>
  <si>
    <t>Vehicle Operating Cost $/hour (Congested or Idle)</t>
  </si>
  <si>
    <t>Vehicle Operating Cost $/Mile (Congested)</t>
  </si>
  <si>
    <t>Vehicle Operating Cost $/Mile (Free Flow)</t>
  </si>
  <si>
    <t>$ per Gallon</t>
  </si>
  <si>
    <t>Avg. Fuel Consump.  Gallon/Mile (FF)</t>
  </si>
  <si>
    <t>Avg. Fuel Consump.  Gallon/Mile (Cong.)</t>
  </si>
  <si>
    <t>Avg. Fuel Consump. Gallon/hr (Cong. or Idle)</t>
  </si>
  <si>
    <t>Value Per Hr (per occupant)</t>
  </si>
  <si>
    <t>% Fraction Congested</t>
  </si>
  <si>
    <t>Buffer Time Hours</t>
  </si>
  <si>
    <t>Reliability</t>
  </si>
  <si>
    <t>Fatality</t>
  </si>
  <si>
    <t>Injury</t>
  </si>
  <si>
    <t>Property Damage</t>
  </si>
  <si>
    <t>With Project</t>
  </si>
  <si>
    <t>Accidents</t>
  </si>
  <si>
    <t>Safety</t>
  </si>
  <si>
    <t>Safety Cost</t>
  </si>
  <si>
    <t>Value of Personal Time &amp; Reliability</t>
  </si>
  <si>
    <t>Business Time &amp; Reliability Costs</t>
  </si>
  <si>
    <t>Vehicle Operating Costs</t>
  </si>
  <si>
    <t>Total Benefits</t>
  </si>
  <si>
    <t>Startup Costs</t>
  </si>
  <si>
    <t>Total Costs</t>
  </si>
  <si>
    <t>7% Discount Rate</t>
  </si>
  <si>
    <t>3% Discount Rate</t>
  </si>
  <si>
    <t>Facility Name</t>
  </si>
  <si>
    <t>Region</t>
  </si>
  <si>
    <t>ScenarioID</t>
  </si>
  <si>
    <t>ProjectID</t>
  </si>
  <si>
    <t>RecordID</t>
  </si>
  <si>
    <t>Total Capital</t>
  </si>
  <si>
    <t>Benefit</t>
  </si>
  <si>
    <t>Business Time and Reliability Costs</t>
  </si>
  <si>
    <t>Value of Personal Time and Reliability</t>
  </si>
  <si>
    <t>Logistics/Freight Costs</t>
  </si>
  <si>
    <t>Costs</t>
  </si>
  <si>
    <t>Capital Investment Costs</t>
  </si>
  <si>
    <t>Operation and Maintenance Costs</t>
  </si>
  <si>
    <t/>
  </si>
  <si>
    <t>Benefit/Cost Ratio</t>
  </si>
  <si>
    <t>Net Present Value</t>
  </si>
  <si>
    <t>Benefit Cost Summary</t>
  </si>
  <si>
    <t>CAGR*</t>
  </si>
  <si>
    <t>*Compound Annual Growth Rate</t>
  </si>
  <si>
    <t>Fuel Type</t>
  </si>
  <si>
    <t>Benefits Summary</t>
  </si>
  <si>
    <t>Cost Summary</t>
  </si>
  <si>
    <t>Benefit Calculations</t>
  </si>
  <si>
    <t>Travel Demand Characteristics</t>
  </si>
  <si>
    <t>Fixed Factors</t>
  </si>
  <si>
    <t>PM</t>
  </si>
  <si>
    <t>VOCs</t>
  </si>
  <si>
    <t>NOx</t>
  </si>
  <si>
    <t>SOx</t>
  </si>
  <si>
    <t>Source: USDOT BCA Guidance</t>
  </si>
  <si>
    <t>Notes:</t>
  </si>
  <si>
    <t>SOX emissions for cars are negligible</t>
  </si>
  <si>
    <t>Trucks emit lower levels of VOC on average than cars because of engine and fuel type</t>
  </si>
  <si>
    <t>Shipper/ Logistics Cost</t>
  </si>
  <si>
    <t>(in $millions)</t>
  </si>
  <si>
    <t>Benefits Undiscounted (in $millions)</t>
  </si>
  <si>
    <t>Benefits Discounted at 3% (in $millions)</t>
  </si>
  <si>
    <t>Vehicle Operating Cost</t>
  </si>
  <si>
    <t>Value of Time</t>
  </si>
  <si>
    <t>Detailed Cost byYear by Category, Undiscounted</t>
  </si>
  <si>
    <t>3% discount rate (in $millions)</t>
  </si>
  <si>
    <t>7% discount rate (in $millions)</t>
  </si>
  <si>
    <t>Scenario</t>
  </si>
  <si>
    <t>% Reduction</t>
  </si>
  <si>
    <t>Freight/Truck</t>
  </si>
  <si>
    <t>Business/Auto</t>
  </si>
  <si>
    <t>Personal/Auto</t>
  </si>
  <si>
    <t>Discount Factor</t>
  </si>
  <si>
    <t xml:space="preserve">$ per VHT </t>
  </si>
  <si>
    <t>Environmental Cost</t>
  </si>
  <si>
    <t>Env Cost</t>
  </si>
  <si>
    <t>Discount Factor 3%</t>
  </si>
  <si>
    <t>Non-CO2 Emissions</t>
  </si>
  <si>
    <t>Freight Tons per Veh.</t>
  </si>
  <si>
    <t>Freight Logistics Factor ($/hr per U.S. Ton)</t>
  </si>
  <si>
    <t xml:space="preserve">Buffer Time Hrs </t>
  </si>
  <si>
    <r>
      <t>Environmental: Non-CO</t>
    </r>
    <r>
      <rPr>
        <vertAlign val="subscript"/>
        <sz val="11"/>
        <rFont val="Calibri"/>
        <family val="2"/>
        <scheme val="minor"/>
      </rPr>
      <t>2</t>
    </r>
  </si>
  <si>
    <t>Buffer Time ($hr per)</t>
  </si>
  <si>
    <t>Per Occupant</t>
  </si>
  <si>
    <t>Per Vehicle</t>
  </si>
  <si>
    <t>Tons per VMT_x000D_
NOX</t>
  </si>
  <si>
    <t>Tons per VMT_x000D_
SOX</t>
  </si>
  <si>
    <t>Tons per VMT_x000D_
PM</t>
  </si>
  <si>
    <t xml:space="preserve">$ per VMT </t>
  </si>
  <si>
    <t>$ per VMT Congested</t>
  </si>
  <si>
    <t>Tons per VMT_x000D_ Congested
VOC</t>
  </si>
  <si>
    <t>Tons per VMT_x000D_ Congested
NOX</t>
  </si>
  <si>
    <t>Tons per VMT_x000D_ Congested
SOX</t>
  </si>
  <si>
    <t>Tons per VMT_x000D_ Congested
PM</t>
  </si>
  <si>
    <t>Accident Rates, Default and Adjusted</t>
  </si>
  <si>
    <t>Undiscounted (in $millions)</t>
  </si>
  <si>
    <t>Discount Factor 7%</t>
  </si>
  <si>
    <t>Monetary Value of Emissions (2017$/short ton)</t>
  </si>
  <si>
    <t>Monetary Value of Emissions (2017$/hour of delay)</t>
  </si>
  <si>
    <t>Monetary Value of Emissions (2017$/VMT)</t>
  </si>
  <si>
    <t>Tons* per VMT_x000D_
VOC</t>
  </si>
  <si>
    <t>* U.S. Short Tons</t>
  </si>
  <si>
    <t>Freight Vehicle Commodity Mix Breakout</t>
  </si>
  <si>
    <t>Assumptions</t>
  </si>
  <si>
    <t>Bump Factor to change commodity sensitivity</t>
  </si>
  <si>
    <t>Model Inputs (By Year)</t>
  </si>
  <si>
    <t>Truck</t>
  </si>
  <si>
    <t>Rail</t>
  </si>
  <si>
    <t>Single Year Cost Savings Estimate</t>
  </si>
  <si>
    <t>SCTG2</t>
  </si>
  <si>
    <t>SCTG Description</t>
  </si>
  <si>
    <t>Truck-Commodity Mix</t>
  </si>
  <si>
    <t>Rail-Commodity Mix</t>
  </si>
  <si>
    <t>Project</t>
  </si>
  <si>
    <t>Live animals/fish</t>
  </si>
  <si>
    <t>Freight Tons Per Veh</t>
  </si>
  <si>
    <t>SCTG</t>
  </si>
  <si>
    <t>Vehicle VHT</t>
  </si>
  <si>
    <t>Truck Freight Cost Savings</t>
  </si>
  <si>
    <t>Cereal grains</t>
  </si>
  <si>
    <t>Rail Freight Cost Savings</t>
  </si>
  <si>
    <t>Other ag prods.</t>
  </si>
  <si>
    <t>Cost Per Freight Ton Hour</t>
  </si>
  <si>
    <t>Animal feed</t>
  </si>
  <si>
    <t>Meat/seafood</t>
  </si>
  <si>
    <t>Milled grain prods.</t>
  </si>
  <si>
    <t>Other foodstuffs</t>
  </si>
  <si>
    <t>Alcoholic beverages</t>
  </si>
  <si>
    <t>Tobacco prods.</t>
  </si>
  <si>
    <t>Building stone</t>
  </si>
  <si>
    <t>Natural sands</t>
  </si>
  <si>
    <t>Gravel</t>
  </si>
  <si>
    <t>Nonmetallic minerals</t>
  </si>
  <si>
    <t>Metallic ores</t>
  </si>
  <si>
    <t>Coal</t>
  </si>
  <si>
    <t>Crude petroleum</t>
  </si>
  <si>
    <t>Fuel oils</t>
  </si>
  <si>
    <t>Coal-n.e.c.</t>
  </si>
  <si>
    <t>Basic chemicals</t>
  </si>
  <si>
    <t>Pharmaceuticals</t>
  </si>
  <si>
    <t>Fertilizers</t>
  </si>
  <si>
    <t>Chemical prods.</t>
  </si>
  <si>
    <t>Plastics/rubber</t>
  </si>
  <si>
    <t>Logs</t>
  </si>
  <si>
    <t>Wood prods.</t>
  </si>
  <si>
    <t>Newsprint/paper</t>
  </si>
  <si>
    <t>Paper articles</t>
  </si>
  <si>
    <t>Printed prods.</t>
  </si>
  <si>
    <t>Textiles/leather</t>
  </si>
  <si>
    <t>Nonmetal min. prods.</t>
  </si>
  <si>
    <t>Base metals</t>
  </si>
  <si>
    <t>Articles-base metal</t>
  </si>
  <si>
    <t>Machinery</t>
  </si>
  <si>
    <t>Electronics</t>
  </si>
  <si>
    <t>Motorized vehicles</t>
  </si>
  <si>
    <t>Transport equip.</t>
  </si>
  <si>
    <t>Precision instruments</t>
  </si>
  <si>
    <t>Furniture</t>
  </si>
  <si>
    <t>Misc. mfg. prods.</t>
  </si>
  <si>
    <t>Waste/scrap</t>
  </si>
  <si>
    <t>Mixed freight</t>
  </si>
  <si>
    <t>Unknown</t>
  </si>
  <si>
    <t>Logistics Costs</t>
  </si>
  <si>
    <t>Benefits Discounted at 7% (in $millions)</t>
  </si>
  <si>
    <t>From FAF State or FAF Region</t>
  </si>
  <si>
    <t>Only Use to Verify Calculations on "Benefit Calculations" tab</t>
  </si>
  <si>
    <t>Kentucky</t>
  </si>
  <si>
    <t>Crash Reduction Calculations</t>
  </si>
  <si>
    <t>per 100,000,000 VMT:</t>
  </si>
  <si>
    <t>CMF</t>
  </si>
  <si>
    <t>Applicable Crashes</t>
  </si>
  <si>
    <t>Clear Zone</t>
  </si>
  <si>
    <t>All</t>
  </si>
  <si>
    <t>HSM</t>
  </si>
  <si>
    <t>5 Star</t>
  </si>
  <si>
    <t>http://www.cmfclearinghouse.org/detail.cfm?facid=35</t>
  </si>
  <si>
    <t>Lane Width</t>
  </si>
  <si>
    <t>Proportioned to All</t>
  </si>
  <si>
    <t>Calculation</t>
  </si>
  <si>
    <t>Shldr width/type</t>
  </si>
  <si>
    <t>Based on CMF calculated below</t>
  </si>
  <si>
    <t>Design
D</t>
  </si>
  <si>
    <t>Right Of Way
R</t>
  </si>
  <si>
    <t>Utilities
U</t>
  </si>
  <si>
    <t>Construction
C</t>
  </si>
  <si>
    <t>Rehabilitation</t>
  </si>
  <si>
    <t>Total
O&amp;M +R</t>
  </si>
  <si>
    <t>Operations
&amp;
Maintenance</t>
  </si>
  <si>
    <t xml:space="preserve">Bourbon US 460 (MP 0.0-7.7) resurfaced in 2017 </t>
  </si>
  <si>
    <t>Scott County 460 (11.1-17.7) resurfaced in 2012</t>
  </si>
  <si>
    <t>Scott US 460 (MP11.1-17.7) resurface on 10-yr cycle (no inflation factor)</t>
  </si>
  <si>
    <t>Bourbon US 460 (MP 0.0-7.7) resurface on 10-yr cycle (no inflation factor)</t>
  </si>
  <si>
    <t xml:space="preserve">Assuming project complete in 2025 </t>
  </si>
  <si>
    <t>Next resufacing would have been 2045 so no residual value</t>
  </si>
  <si>
    <t>O&amp;M + R Costs</t>
  </si>
  <si>
    <t>VMT</t>
  </si>
  <si>
    <t>*</t>
  </si>
  <si>
    <t>(For year 2025 when project opens)</t>
  </si>
  <si>
    <t>Project - Base</t>
  </si>
  <si>
    <t>BASE</t>
  </si>
  <si>
    <t>PROJECT</t>
  </si>
  <si>
    <t>% Congested</t>
  </si>
  <si>
    <t>Mileage per trip</t>
  </si>
  <si>
    <t>Speed (MPH)</t>
  </si>
  <si>
    <t>Source: TREDIS vFreight Database, 2016, for Bourbon &amp; Scott Counties</t>
  </si>
  <si>
    <t>(Derived from FAF data)</t>
  </si>
  <si>
    <t>Volume data:</t>
  </si>
  <si>
    <t>vpd lower range</t>
  </si>
  <si>
    <t>vpd upper range</t>
  </si>
  <si>
    <t>midpoint vpd</t>
  </si>
  <si>
    <t>annualized</t>
  </si>
  <si>
    <t>PDO</t>
  </si>
  <si>
    <t>Count 2015-2017</t>
  </si>
  <si>
    <t>Average annual</t>
  </si>
  <si>
    <t>Corridor Volume Growth:</t>
  </si>
  <si>
    <t>Data Element</t>
  </si>
  <si>
    <t>Value</t>
  </si>
  <si>
    <t>Unit</t>
  </si>
  <si>
    <t>Source</t>
  </si>
  <si>
    <t>A</t>
  </si>
  <si>
    <t>Commodity classification of freight on trucks</t>
  </si>
  <si>
    <t>N/A</t>
  </si>
  <si>
    <t>B</t>
  </si>
  <si>
    <t>trucks</t>
  </si>
  <si>
    <t>C</t>
  </si>
  <si>
    <t>Current truck route length, one-way</t>
  </si>
  <si>
    <t>miles</t>
  </si>
  <si>
    <t>Google Maps. See Figure 1.</t>
  </si>
  <si>
    <t>D</t>
  </si>
  <si>
    <t>Current truck route travel time, one-way</t>
  </si>
  <si>
    <t>minutes</t>
  </si>
  <si>
    <t>E</t>
  </si>
  <si>
    <t>US 460 truck route length, one-way (with project)</t>
  </si>
  <si>
    <t>Google Maps. See Figure 2.</t>
  </si>
  <si>
    <t>F</t>
  </si>
  <si>
    <t>US 460 truck route travel time, one-way (with project)</t>
  </si>
  <si>
    <t>G</t>
  </si>
  <si>
    <t>Round trip mileage savings per truck, with project</t>
  </si>
  <si>
    <t>= 2 x (C – E)</t>
  </si>
  <si>
    <t>H</t>
  </si>
  <si>
    <t>Round trip time savings per truck, with project</t>
  </si>
  <si>
    <t>= 2 x (D-F)</t>
  </si>
  <si>
    <t>I</t>
  </si>
  <si>
    <t>Daily truck-miles saved</t>
  </si>
  <si>
    <t>= G x B</t>
  </si>
  <si>
    <t>J</t>
  </si>
  <si>
    <t>Daily truck-hours saved</t>
  </si>
  <si>
    <t>hours</t>
  </si>
  <si>
    <t>= (H/60) x B</t>
  </si>
  <si>
    <t>K</t>
  </si>
  <si>
    <t>Annualization factor</t>
  </si>
  <si>
    <t>days per year</t>
  </si>
  <si>
    <t>Average work days per year</t>
  </si>
  <si>
    <t>L</t>
  </si>
  <si>
    <t>Annual truck-miles saved</t>
  </si>
  <si>
    <t>truck-miles</t>
  </si>
  <si>
    <t>= I x K</t>
  </si>
  <si>
    <t>M</t>
  </si>
  <si>
    <t>Annual truck-hours saved</t>
  </si>
  <si>
    <t>truck-hours</t>
  </si>
  <si>
    <t>= J x K</t>
  </si>
  <si>
    <t>Google Maps. See Figure 3.</t>
  </si>
  <si>
    <t>Pivot from calculation of extra mileage in 2018:</t>
  </si>
  <si>
    <t>Average avoided mileage per trip (one-way)</t>
  </si>
  <si>
    <t>Check based on weighted average</t>
  </si>
  <si>
    <t>Average avoided hours per trip (one-way)</t>
  </si>
  <si>
    <t>Then expand using travel model growth rate for truck traffic</t>
  </si>
  <si>
    <t>CAGR</t>
  </si>
  <si>
    <t>CAGR derived from KYTC Travel area travel model</t>
  </si>
  <si>
    <t>Adjustment for empty returns:</t>
  </si>
  <si>
    <t>*Divide by half to adjust for empty return trips</t>
  </si>
  <si>
    <t>Guide to Benefit Cost Analysis (BCA) spreadsheets contained in file: BCA Spreadsheet_US460</t>
  </si>
  <si>
    <t>Tabs in order:</t>
  </si>
  <si>
    <t>Name</t>
  </si>
  <si>
    <t>Type</t>
  </si>
  <si>
    <t>BCA Summary</t>
  </si>
  <si>
    <t>Decription</t>
  </si>
  <si>
    <t xml:space="preserve">Presents the summary benefit results by category of benefit, cost summary, Net Present Value, and benefit cost ratio in undiscounted terms and using a 3% and 7% discount rate. </t>
  </si>
  <si>
    <t>Note: Greens indicate calculations tabs, red indicates input data</t>
  </si>
  <si>
    <t>Project Costs</t>
  </si>
  <si>
    <t>Input</t>
  </si>
  <si>
    <t>In units of millions of dollars, capital and operations &amp; maintenance costs are entered into this tab by year (rows) and type of expenditure (columns) for both the Base and Project Scenarios.</t>
  </si>
  <si>
    <t>Cost Summary Discounted</t>
  </si>
  <si>
    <t>Network Benefits Summary</t>
  </si>
  <si>
    <r>
      <t>Using the values from the ‘</t>
    </r>
    <r>
      <rPr>
        <b/>
        <sz val="11"/>
        <color theme="1"/>
        <rFont val="Calibri"/>
        <family val="2"/>
        <scheme val="minor"/>
      </rPr>
      <t>Network Benefit Calculations</t>
    </r>
    <r>
      <rPr>
        <sz val="11"/>
        <color theme="1"/>
        <rFont val="Calibri"/>
        <family val="2"/>
        <scheme val="minor"/>
      </rPr>
      <t>’ tab, values in the Base Scenario are subtracted from the Project scenario and presented in units of millions of dollars in undiscounted terms and applying a 3% and 7% discount rate.</t>
    </r>
  </si>
  <si>
    <t>Common Across All Project Outcome Types:</t>
  </si>
  <si>
    <t>Network TDC</t>
  </si>
  <si>
    <t>Network Crash Rates</t>
  </si>
  <si>
    <t>Network Shipper-Logistics</t>
  </si>
  <si>
    <t>Network Benefit Calculations</t>
  </si>
  <si>
    <t>Network Model Data</t>
  </si>
  <si>
    <t>Conservative assumption: Assume network around US460 is as safe as the post-project improved 460</t>
  </si>
  <si>
    <r>
      <t xml:space="preserve">This tab is where accident rates per 100 million VMT are entered for the Base and Project scenario to reflect the expected reduction in accidents enabled by the project.  </t>
    </r>
    <r>
      <rPr>
        <b/>
        <sz val="11"/>
        <color theme="1"/>
        <rFont val="Calibri"/>
        <family val="2"/>
        <scheme val="minor"/>
      </rPr>
      <t>These rates apply to the network model area.</t>
    </r>
  </si>
  <si>
    <t>Subtracts the Project Scenario from the Base Scenario for startup (e.g. construction) and operations and maintenance costs for all years and applies a discount rate of 3% and 7%.</t>
  </si>
  <si>
    <t xml:space="preserve">Cells highlighed in light blue are the numbers reported from the statewide travel demand model, other years are interpolated </t>
  </si>
  <si>
    <t>Travel Demand Characteristic derived from the Travel Demand Network Model are entered into this tab. Cells highlighted in blue indicate the years for which the travel demand model was run.  All other years are interpolated or extrapolated using a compound annual growth rate (CAGR).  Because the first travel model run was for 2020 and the current schedule plans for the project to open in 2025, the next tab ('Network TDC') adjusts the model data to reflect the correct timing of the project.</t>
  </si>
  <si>
    <r>
      <t xml:space="preserve">Presents the monetized results of applying the </t>
    </r>
    <r>
      <rPr>
        <b/>
        <sz val="11"/>
        <color theme="1"/>
        <rFont val="Calibri"/>
        <family val="2"/>
        <scheme val="minor"/>
      </rPr>
      <t>Network TDC</t>
    </r>
    <r>
      <rPr>
        <sz val="11"/>
        <color theme="1"/>
        <rFont val="Calibri"/>
        <family val="2"/>
        <scheme val="minor"/>
      </rPr>
      <t xml:space="preserve"> and fixed factors for the Project and Base scenarios.  This tab provides transparency into the monetized values for each category of benefit.</t>
    </r>
  </si>
  <si>
    <t>460 Crash Inputs</t>
  </si>
  <si>
    <t>460 Crashes</t>
  </si>
  <si>
    <t>460 Safety Benefit Calc.</t>
  </si>
  <si>
    <t>460 Safety Benefits Summary</t>
  </si>
  <si>
    <t>This tab is where annual crash data for the US 460 corridor, crash modification factors that reflect the project, and general traffic growth rates are entered as inputs to the following tab which estimates the number of crashes on US 460 in Base and Project.</t>
  </si>
  <si>
    <r>
      <t xml:space="preserve">Estimates the number of fatality, injury, and PDO crashes on the US 460 corridor project extent in base and project based on </t>
    </r>
    <r>
      <rPr>
        <b/>
        <sz val="11"/>
        <color theme="1"/>
        <rFont val="Calibri"/>
        <family val="2"/>
        <scheme val="minor"/>
      </rPr>
      <t>'460 Crash Inputs'</t>
    </r>
  </si>
  <si>
    <t>Presents the monetized results of applying fixed factors for the Project and Base scenarios to the crashes in the '460 Crashes' tab. This tab provides transparency in the monetized values for safety improvements on US 460.</t>
  </si>
  <si>
    <r>
      <t>Using the values from the ‘</t>
    </r>
    <r>
      <rPr>
        <b/>
        <sz val="11"/>
        <color theme="1"/>
        <rFont val="Calibri"/>
        <family val="2"/>
        <scheme val="minor"/>
      </rPr>
      <t>460 Safety Benefit Calc.</t>
    </r>
    <r>
      <rPr>
        <sz val="11"/>
        <color theme="1"/>
        <rFont val="Calibri"/>
        <family val="2"/>
        <scheme val="minor"/>
      </rPr>
      <t>’ tab, values in the Base Scenario are subtracted from the Project scenario and presented in units of millions of dollars in undiscounted terms and applying a 3% and 7% discount rate.</t>
    </r>
  </si>
  <si>
    <t>Custom Truck Inputs</t>
  </si>
  <si>
    <t>Custom Truck TDC</t>
  </si>
  <si>
    <t>Custom Truck Shipper-Logistics</t>
  </si>
  <si>
    <t>Custom Truck Benefit Calc.</t>
  </si>
  <si>
    <t>Custom Truck Benefits Summary</t>
  </si>
  <si>
    <r>
      <t xml:space="preserve">Presents the monetized results of applying the </t>
    </r>
    <r>
      <rPr>
        <b/>
        <sz val="11"/>
        <color theme="1"/>
        <rFont val="Calibri"/>
        <family val="2"/>
        <scheme val="minor"/>
      </rPr>
      <t>Custom Truck TDC</t>
    </r>
    <r>
      <rPr>
        <sz val="11"/>
        <color theme="1"/>
        <rFont val="Calibri"/>
        <family val="2"/>
        <scheme val="minor"/>
      </rPr>
      <t xml:space="preserve"> and fixed factors for the Project and Base scenarios.  This tab provides transparency into the monetized values for each category of benefit.</t>
    </r>
  </si>
  <si>
    <r>
      <t>Using the values from the ‘</t>
    </r>
    <r>
      <rPr>
        <b/>
        <sz val="11"/>
        <color theme="1"/>
        <rFont val="Calibri"/>
        <family val="2"/>
        <scheme val="minor"/>
      </rPr>
      <t>Custom Truck Benefit Calc.</t>
    </r>
    <r>
      <rPr>
        <sz val="11"/>
        <color theme="1"/>
        <rFont val="Calibri"/>
        <family val="2"/>
        <scheme val="minor"/>
      </rPr>
      <t>’ tab, values in the Base Scenario are subtracted from the Project scenario and presented in units of millions of dollars in undiscounted terms and applying a 3% and 7% discount rate.</t>
    </r>
  </si>
  <si>
    <t>Specific to Network Efficiency Benefits Estimated Using a Travel Demand Model (i.e. rerouting from elsewhere in the network to US 460 as result of speed improvements)</t>
  </si>
  <si>
    <r>
      <t xml:space="preserve">This tab includes all the default values and assumptions regards vehicle operating costs, fuel consumption, fuel costs, value of time, average vehicle occupancy, and emissions factors. Sources of these factors are presented in </t>
    </r>
    <r>
      <rPr>
        <b/>
        <sz val="11"/>
        <color theme="1"/>
        <rFont val="Calibri"/>
        <family val="2"/>
        <scheme val="minor"/>
      </rPr>
      <t>Appendix 2 “Valuation Factors.”</t>
    </r>
  </si>
  <si>
    <r>
      <t xml:space="preserve">Travel Demand Characteristic inputs are entered in on this tab for the following performance metrics for passenger cars (business &amp; personal purposes) and trucks: vehicle trips, vehicle miles travelled (VMT), vehicle hours travelled (VHT), and % Fraction Congested (% of VMT experiencing worse than LOS D) for both the Base and Project Scenario.  </t>
    </r>
    <r>
      <rPr>
        <b/>
        <sz val="11"/>
        <color theme="1"/>
        <rFont val="Calibri"/>
        <family val="2"/>
        <scheme val="minor"/>
      </rPr>
      <t>Data is derived from the 'Network Model Data' tab, but adjusted to reflect the actual planned construction period and operations start of 2025</t>
    </r>
    <r>
      <rPr>
        <sz val="11"/>
        <color theme="1"/>
        <rFont val="Calibri"/>
        <family val="2"/>
        <scheme val="minor"/>
      </rPr>
      <t xml:space="preserve"> (i.e. ensure differences in the TDC do not begin until 2025)</t>
    </r>
  </si>
  <si>
    <t>*US 460 with project crash rates derived from historical crash rates and crash modification factors based on design</t>
  </si>
  <si>
    <r>
      <t xml:space="preserve">Custom Truck Travel Demand Characteristic inputs are entered on this tab.  The data represent the extra VMT and VHT imposed on trucks in the base case, which would be eliminated in the project case. </t>
    </r>
    <r>
      <rPr>
        <b/>
        <sz val="11"/>
        <color theme="1"/>
        <rFont val="Calibri"/>
        <family val="2"/>
        <scheme val="minor"/>
      </rPr>
      <t>Data is derived from the 'Custom Truck Inputs' tab.</t>
    </r>
  </si>
  <si>
    <t>Truck Routing North Via Cynthiana</t>
  </si>
  <si>
    <t>Truck Routing South Via I-64</t>
  </si>
  <si>
    <t>Use Bourbon/Scott County averages</t>
  </si>
  <si>
    <t>TREDIS vFreight 2016, based on FAF</t>
  </si>
  <si>
    <t>Trucks per day traveling roundtrip between Paris and Georgetown via Northern Route</t>
  </si>
  <si>
    <t>Bourbon County Economic Development: Between 400 and 500 trucks per day, about half using norther route.</t>
  </si>
  <si>
    <t>Trucks per day traveling roundtrip between Paris and Georgetown via Southern Route</t>
  </si>
  <si>
    <t>Bourbon County Economic Development: Between 400 and 500 trucks per day, about half using southern route.</t>
  </si>
  <si>
    <t>Figure 1 Current Truck Route (Northern Option)</t>
  </si>
  <si>
    <t>Figure 2 US 460 Truck Route if Project is Constructed</t>
  </si>
  <si>
    <t>Google Maps. See Figure 1. Use CMWA as representative starting point.</t>
  </si>
  <si>
    <t>Google Maps. See Figure 2. Use CMWA as representative starting point..</t>
  </si>
  <si>
    <t>Figure 3 Current Truck Route (Southern Option)</t>
  </si>
  <si>
    <t>Benefits by Analysis Component:</t>
  </si>
  <si>
    <t>Network Efficiency Benefits</t>
  </si>
  <si>
    <t>Specific to Custom Truck Benefits Associated with Companies that Currently Restrict the Use of US 460 for Delivery Due to Safety Concerns</t>
  </si>
  <si>
    <t>This tab includes data regarding how improvements to US 460 would enable specific savings for automotive companies located in Paris that ship goods on a daily basis to the Toyota Tsusho America, Inc. (TAI) in Georgetown, KY. There are between 400 and 500 trucks per day traveling between Paris and Georgetown that do not travel US 460 for safety reasons. Instead, trucks travel a one of two longer routes: (1) via US 27 from Paris north to Cynthiana, then southwest on US 62 to Georgetown, or (2) south to I-64 and then to Georgetown. This tab calculates the extra mileage and travel time that would be avoided by these trucks if the corridor is improved.</t>
  </si>
  <si>
    <r>
      <t xml:space="preserve">The commodity mix profile is entered into this tab reflecting the types of goods being transported.  This information is used to calculate the value per freight-ton hour for each commodity type and represents the value of on-time deliveries (critical for just-in-time supply chains) which reduces safety stock requirements and lowers the opportunity costs of capital.  </t>
    </r>
    <r>
      <rPr>
        <b/>
        <sz val="11"/>
        <color theme="1"/>
        <rFont val="Calibri"/>
        <family val="2"/>
        <scheme val="minor"/>
      </rPr>
      <t>The commodity profile reflects averages for all of Scott and Bourbon County, KY, which is primarily concentrated in Standard Classification of Transported Goods (SCTG) 36: Motorized &amp; Other Vehicles (Including Parts).</t>
    </r>
  </si>
  <si>
    <r>
      <t xml:space="preserve">The commodity mix profile is entered into this tab reflecting the types of goods being transported.  This information is used to calculate the value per freight-ton hour for each commodity type and represents the value of on-time deliveries (critical for just-in-time supply chains) which reduces safety stock requirements and lowers the opportunity costs of capital.  </t>
    </r>
    <r>
      <rPr>
        <b/>
        <sz val="11"/>
        <color theme="1"/>
        <rFont val="Calibri"/>
        <family val="2"/>
        <scheme val="minor"/>
      </rPr>
      <t>The commodity profile reflects averages for all of Scott and Bourbon County, KY, which is primarily concentrated in Standard Classification of Transported Goods (SCTG) 36: Motorized &amp; Other Vehicles (Including Parts). However, truck tonnage has been reduced by half to account for empty returns.</t>
    </r>
  </si>
  <si>
    <t xml:space="preserve">Custom Analysis of Truck Benefits from Changes to Automotive Company Operations </t>
  </si>
  <si>
    <t>https://gasprices.aaa.com/?state=KY</t>
  </si>
  <si>
    <t>(July 2018)</t>
  </si>
  <si>
    <t>Baseline safety data from  Kentucky State Police traffic collision data collected over a 3 year period (from Jan 2015 through Dec 2017)</t>
  </si>
  <si>
    <t>Safety Benefits for Corridor Traffic on US 460</t>
  </si>
  <si>
    <t>Specific to Safety Benefits for Corridor Traffic on US 460 as a result of design improvements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</si>
</sst>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_);[Red]\(&quot;$&quot;#,##0\)"/>
    <numFmt numFmtId="44" formatCode="_(&quot;$&quot;* #,##0.00_);_(&quot;$&quot;* \(#,##0.00\);_(&quot;$&quot;* &quot;-&quot;??_);_(@_)"/>
    <numFmt numFmtId="43" formatCode="_(* #,##0.00_);_(* \(#,##0.00\);_(* &quot;-&quot;??_);_(@_)"/>
    <numFmt numFmtId="164" formatCode="0.0%"/>
    <numFmt numFmtId="165" formatCode="_(* #,##0_);_(* \(#,##0\);_(* &quot;-&quot;??_);_(@_)"/>
    <numFmt numFmtId="166" formatCode="&quot;$&quot;#,##0.0"/>
    <numFmt numFmtId="167" formatCode="&quot;$&quot;#,##0"/>
    <numFmt numFmtId="168" formatCode="#,##0.0000"/>
    <numFmt numFmtId="169" formatCode="#,##0.########;\(#,##0.########\)"/>
    <numFmt numFmtId="170" formatCode="&quot;$&quot;#,##0.00"/>
    <numFmt numFmtId="171" formatCode="0.0000"/>
    <numFmt numFmtId="172" formatCode="#,##0;\-#,##0"/>
    <numFmt numFmtId="173" formatCode="#,##0.0000000000"/>
    <numFmt numFmtId="174" formatCode="#,##0.00000000000"/>
    <numFmt numFmtId="175" formatCode="0.0000000"/>
    <numFmt numFmtId="176" formatCode="_(* #,##0.00000_);_(* \(#,##0.00000\);_(* &quot;-&quot;??_);_(@_)"/>
    <numFmt numFmtId="177" formatCode="0.0"/>
    <numFmt numFmtId="178" formatCode="#,##0.0000000000000"/>
    <numFmt numFmtId="179" formatCode="#,##0.0_);\(#,##0.0\)"/>
    <numFmt numFmtId="180" formatCode="&quot;$&quot;#,##0.000"/>
    <numFmt numFmtId="181" formatCode="0.000000"/>
    <numFmt numFmtId="182" formatCode="0.000"/>
    <numFmt numFmtId="183" formatCode="_(* #,##0.000_);_(* \(#,##0.000\);_(* &quot;-&quot;??_);_(@_)"/>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5"/>
      <name val="Microsoft Sans Serif"/>
      <family val="2"/>
    </font>
    <font>
      <sz val="8.5"/>
      <name val="Microsoft Sans Serif"/>
      <family val="2"/>
    </font>
    <font>
      <sz val="10"/>
      <name val="Arial"/>
      <family val="2"/>
    </font>
    <font>
      <u/>
      <sz val="11"/>
      <color theme="10"/>
      <name val="Calibri"/>
      <family val="2"/>
      <scheme val="minor"/>
    </font>
    <font>
      <sz val="11"/>
      <color rgb="FF022CB4"/>
      <name val="Calibri"/>
      <family val="2"/>
      <scheme val="minor"/>
    </font>
    <font>
      <sz val="11"/>
      <color rgb="FF00008B"/>
      <name val="Calibri"/>
      <family val="2"/>
      <scheme val="minor"/>
    </font>
    <font>
      <sz val="11"/>
      <name val="Calibri"/>
      <family val="2"/>
      <scheme val="minor"/>
    </font>
    <font>
      <b/>
      <i/>
      <sz val="11"/>
      <color theme="1"/>
      <name val="Calibri"/>
      <family val="2"/>
      <scheme val="minor"/>
    </font>
    <font>
      <b/>
      <sz val="11"/>
      <color rgb="FFFFFFFF"/>
      <name val="Calibri"/>
      <family val="2"/>
      <scheme val="minor"/>
    </font>
    <font>
      <vertAlign val="subscript"/>
      <sz val="11"/>
      <name val="Calibri"/>
      <family val="2"/>
      <scheme val="minor"/>
    </font>
    <font>
      <b/>
      <sz val="11"/>
      <name val="Calibri"/>
      <family val="2"/>
      <scheme val="minor"/>
    </font>
    <font>
      <b/>
      <sz val="11"/>
      <color rgb="FFFF0000"/>
      <name val="Calibri"/>
      <family val="2"/>
      <scheme val="minor"/>
    </font>
    <font>
      <sz val="10"/>
      <color theme="1"/>
      <name val="Arial"/>
      <family val="2"/>
    </font>
    <font>
      <u/>
      <sz val="11"/>
      <color theme="1"/>
      <name val="Calibri"/>
      <family val="2"/>
      <scheme val="minor"/>
    </font>
    <font>
      <b/>
      <sz val="16"/>
      <color rgb="FF2F5496"/>
      <name val="Calibri Light"/>
      <family val="2"/>
    </font>
    <font>
      <i/>
      <sz val="11"/>
      <color rgb="FF44546A"/>
      <name val="Calibri"/>
      <family val="2"/>
      <scheme val="minor"/>
    </font>
    <font>
      <i/>
      <sz val="11"/>
      <color theme="1"/>
      <name val="Calibri"/>
      <family val="2"/>
      <scheme val="minor"/>
    </font>
    <font>
      <b/>
      <sz val="10"/>
      <color theme="1"/>
      <name val="Arial"/>
      <family val="2"/>
    </font>
    <font>
      <sz val="11"/>
      <color theme="1" tint="0.499984740745262"/>
      <name val="Calibri"/>
      <family val="2"/>
      <scheme val="minor"/>
    </font>
    <font>
      <b/>
      <sz val="11"/>
      <color theme="1" tint="0.499984740745262"/>
      <name val="Calibri"/>
      <family val="2"/>
      <scheme val="minor"/>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theme="0"/>
        <bgColor indexed="64"/>
      </patternFill>
    </fill>
    <fill>
      <patternFill patternType="solid">
        <fgColor theme="0" tint="-0.249977111117893"/>
        <bgColor indexed="64"/>
      </patternFill>
    </fill>
    <fill>
      <patternFill patternType="solid">
        <fgColor theme="4" tint="-0.499984740745262"/>
        <bgColor indexed="64"/>
      </patternFill>
    </fill>
    <fill>
      <patternFill patternType="solid">
        <fgColor theme="4" tint="-0.499984740745262"/>
        <bgColor rgb="FF000000"/>
      </patternFill>
    </fill>
    <fill>
      <patternFill patternType="solid">
        <fgColor theme="7" tint="0.59999389629810485"/>
        <bgColor rgb="FF000000"/>
      </patternFill>
    </fill>
    <fill>
      <patternFill patternType="solid">
        <fgColor theme="9" tint="0.59999389629810485"/>
        <bgColor rgb="FF000000"/>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7" tint="0.79998168889431442"/>
        <bgColor rgb="FF000000"/>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bgColor indexed="64"/>
      </patternFill>
    </fill>
    <fill>
      <patternFill patternType="solid">
        <fgColor rgb="FF7030A0"/>
        <bgColor indexed="64"/>
      </patternFill>
    </fill>
    <fill>
      <patternFill patternType="solid">
        <fgColor rgb="FF00206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D9E2F3"/>
        <bgColor indexed="64"/>
      </patternFill>
    </fill>
    <fill>
      <patternFill patternType="solid">
        <fgColor rgb="FFFFE599"/>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C00000"/>
        <bgColor indexed="64"/>
      </patternFill>
    </fill>
    <fill>
      <patternFill patternType="solid">
        <fgColor theme="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rgb="FFA0A0A0"/>
      </right>
      <top/>
      <bottom style="hair">
        <color rgb="FFA0A0A0"/>
      </bottom>
      <diagonal/>
    </border>
    <border>
      <left style="thin">
        <color theme="1"/>
      </left>
      <right style="thin">
        <color theme="1"/>
      </right>
      <top style="thin">
        <color theme="1"/>
      </top>
      <bottom style="thin">
        <color theme="1"/>
      </bottom>
      <diagonal/>
    </border>
    <border>
      <left/>
      <right/>
      <top/>
      <bottom style="hair">
        <color rgb="FFA0A0A0"/>
      </bottom>
      <diagonal/>
    </border>
    <border>
      <left style="thin">
        <color theme="1"/>
      </left>
      <right style="thin">
        <color theme="1"/>
      </right>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tint="-0.34998626667073579"/>
      </left>
      <right style="thin">
        <color theme="0" tint="-0.34998626667073579"/>
      </right>
      <top/>
      <bottom style="thin">
        <color theme="0" tint="-0.34998626667073579"/>
      </bottom>
      <diagonal/>
    </border>
    <border>
      <left/>
      <right/>
      <top/>
      <bottom style="thin">
        <color theme="0"/>
      </bottom>
      <diagonal/>
    </border>
    <border>
      <left/>
      <right style="thin">
        <color theme="0"/>
      </right>
      <top style="thin">
        <color theme="0"/>
      </top>
      <bottom style="thin">
        <color theme="0"/>
      </bottom>
      <diagonal/>
    </border>
    <border>
      <left/>
      <right/>
      <top style="thin">
        <color theme="0" tint="-0.34998626667073579"/>
      </top>
      <bottom/>
      <diagonal/>
    </border>
    <border>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indexed="64"/>
      </left>
      <right/>
      <top style="thin">
        <color indexed="64"/>
      </top>
      <bottom style="thin">
        <color indexed="64"/>
      </bottom>
      <diagonal/>
    </border>
    <border>
      <left style="thin">
        <color theme="0"/>
      </left>
      <right/>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2">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4" fillId="0" borderId="3" applyNumberFormat="0" applyFill="0" applyAlignment="0" applyProtection="0"/>
    <xf numFmtId="0" fontId="5" fillId="0" borderId="4" applyNumberFormat="0" applyFill="0" applyAlignment="0" applyProtection="0"/>
    <xf numFmtId="0" fontId="6" fillId="0" borderId="5"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6" applyNumberFormat="0" applyAlignment="0" applyProtection="0"/>
    <xf numFmtId="0" fontId="11" fillId="6" borderId="7" applyNumberFormat="0" applyAlignment="0" applyProtection="0"/>
    <xf numFmtId="0" fontId="12" fillId="6" borderId="6" applyNumberFormat="0" applyAlignment="0" applyProtection="0"/>
    <xf numFmtId="0" fontId="13" fillId="0" borderId="8" applyNumberFormat="0" applyFill="0" applyAlignment="0" applyProtection="0"/>
    <xf numFmtId="0" fontId="14" fillId="7" borderId="9" applyNumberFormat="0" applyAlignment="0" applyProtection="0"/>
    <xf numFmtId="0" fontId="15" fillId="0" borderId="0" applyNumberFormat="0" applyFill="0" applyBorder="0" applyAlignment="0" applyProtection="0"/>
    <xf numFmtId="0" fontId="1" fillId="8" borderId="10" applyNumberFormat="0" applyFont="0" applyAlignment="0" applyProtection="0"/>
    <xf numFmtId="0" fontId="16" fillId="0" borderId="0" applyNumberFormat="0" applyFill="0" applyBorder="0" applyAlignment="0" applyProtection="0"/>
    <xf numFmtId="0" fontId="2" fillId="0" borderId="11"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lignment vertical="top" wrapText="1"/>
      <protection locked="0"/>
    </xf>
    <xf numFmtId="0" fontId="19" fillId="0" borderId="0">
      <alignment vertical="top" wrapText="1"/>
      <protection locked="0"/>
    </xf>
    <xf numFmtId="0" fontId="20" fillId="0" borderId="0">
      <alignment wrapText="1"/>
    </xf>
    <xf numFmtId="0" fontId="19" fillId="0" borderId="0">
      <alignment vertical="top" wrapText="1"/>
      <protection locked="0"/>
    </xf>
    <xf numFmtId="0" fontId="21" fillId="0" borderId="0" applyNumberFormat="0" applyFill="0" applyBorder="0" applyAlignment="0" applyProtection="0"/>
    <xf numFmtId="44" fontId="1" fillId="0" borderId="0" applyFont="0" applyFill="0" applyBorder="0" applyAlignment="0" applyProtection="0"/>
    <xf numFmtId="0" fontId="18" fillId="0" borderId="0">
      <alignment vertical="top" wrapText="1"/>
      <protection locked="0"/>
    </xf>
    <xf numFmtId="0" fontId="18" fillId="0" borderId="0">
      <alignment vertical="top" wrapText="1"/>
      <protection locked="0"/>
    </xf>
  </cellStyleXfs>
  <cellXfs count="395">
    <xf numFmtId="0" fontId="0" fillId="0" borderId="0" xfId="0"/>
    <xf numFmtId="0" fontId="2" fillId="33" borderId="0" xfId="47" applyFont="1" applyFill="1" applyBorder="1" applyAlignment="1" applyProtection="1">
      <alignment horizontal="left"/>
    </xf>
    <xf numFmtId="0" fontId="22" fillId="33" borderId="0" xfId="47" applyFont="1" applyFill="1" applyBorder="1" applyAlignment="1" applyProtection="1"/>
    <xf numFmtId="0" fontId="22" fillId="33" borderId="0" xfId="47" applyFont="1" applyFill="1" applyBorder="1" applyAlignment="1" applyProtection="1">
      <alignment horizontal="right"/>
    </xf>
    <xf numFmtId="169" fontId="23" fillId="33" borderId="0" xfId="47" applyNumberFormat="1" applyFont="1" applyFill="1" applyBorder="1" applyAlignment="1" applyProtection="1">
      <alignment horizontal="right"/>
    </xf>
    <xf numFmtId="0" fontId="22" fillId="33" borderId="0" xfId="47" applyFont="1" applyFill="1" applyBorder="1" applyAlignment="1" applyProtection="1">
      <protection locked="0"/>
    </xf>
    <xf numFmtId="49" fontId="14" fillId="37" borderId="1" xfId="47" applyNumberFormat="1" applyFont="1" applyFill="1" applyBorder="1" applyAlignment="1" applyProtection="1">
      <alignment horizontal="left" vertical="center" wrapText="1"/>
      <protection locked="0"/>
    </xf>
    <xf numFmtId="49" fontId="14" fillId="37" borderId="1" xfId="47" applyNumberFormat="1" applyFont="1" applyFill="1" applyBorder="1" applyAlignment="1" applyProtection="1">
      <alignment horizontal="center" vertical="center" wrapText="1"/>
      <protection locked="0"/>
    </xf>
    <xf numFmtId="0" fontId="24" fillId="33" borderId="12" xfId="47" applyFont="1" applyFill="1" applyBorder="1" applyAlignment="1" applyProtection="1">
      <alignment horizontal="center"/>
      <protection locked="0"/>
    </xf>
    <xf numFmtId="0" fontId="1" fillId="33" borderId="1" xfId="47" applyFont="1" applyFill="1" applyBorder="1" applyAlignment="1" applyProtection="1">
      <alignment horizontal="left" vertical="center"/>
    </xf>
    <xf numFmtId="167" fontId="1" fillId="33" borderId="1" xfId="47" applyNumberFormat="1" applyFont="1" applyFill="1" applyBorder="1" applyAlignment="1" applyProtection="1">
      <alignment horizontal="right" vertical="center"/>
    </xf>
    <xf numFmtId="170" fontId="1" fillId="33" borderId="0" xfId="49" applyNumberFormat="1" applyFont="1" applyFill="1" applyBorder="1" applyAlignment="1" applyProtection="1">
      <protection locked="0"/>
    </xf>
    <xf numFmtId="0" fontId="1" fillId="33" borderId="0" xfId="47" applyFont="1" applyFill="1" applyBorder="1" applyAlignment="1" applyProtection="1">
      <protection locked="0"/>
    </xf>
    <xf numFmtId="0" fontId="22" fillId="33" borderId="0" xfId="47" applyFont="1" applyFill="1" applyBorder="1" applyAlignment="1" applyProtection="1">
      <alignment horizontal="left"/>
    </xf>
    <xf numFmtId="0" fontId="1" fillId="33" borderId="1" xfId="45" applyFont="1" applyFill="1" applyBorder="1" applyAlignment="1" applyProtection="1">
      <alignment horizontal="left" vertical="center"/>
    </xf>
    <xf numFmtId="168" fontId="1" fillId="33" borderId="1" xfId="45" applyNumberFormat="1" applyFont="1" applyFill="1" applyBorder="1" applyAlignment="1" applyProtection="1">
      <alignment horizontal="right" vertical="center"/>
      <protection locked="0"/>
    </xf>
    <xf numFmtId="43" fontId="1" fillId="33" borderId="0" xfId="1" applyFont="1" applyFill="1" applyBorder="1" applyAlignment="1" applyProtection="1">
      <protection locked="0"/>
    </xf>
    <xf numFmtId="0" fontId="1" fillId="0" borderId="1" xfId="0" applyFont="1" applyBorder="1" applyAlignment="1">
      <alignment vertical="center"/>
    </xf>
    <xf numFmtId="169" fontId="1" fillId="33" borderId="0" xfId="47" applyNumberFormat="1" applyFont="1" applyFill="1" applyBorder="1" applyAlignment="1" applyProtection="1">
      <alignment horizontal="right"/>
    </xf>
    <xf numFmtId="0" fontId="22" fillId="33" borderId="0" xfId="45" applyFont="1" applyFill="1" applyBorder="1" applyAlignment="1" applyProtection="1">
      <alignment vertical="center"/>
    </xf>
    <xf numFmtId="3" fontId="22" fillId="33" borderId="0" xfId="45" applyNumberFormat="1" applyFont="1" applyFill="1" applyBorder="1" applyAlignment="1" applyProtection="1">
      <alignment horizontal="right" vertical="center"/>
      <protection locked="0"/>
    </xf>
    <xf numFmtId="3" fontId="23" fillId="33" borderId="0" xfId="45" applyNumberFormat="1" applyFont="1" applyFill="1" applyBorder="1" applyAlignment="1" applyProtection="1">
      <alignment horizontal="right" vertical="center"/>
      <protection locked="0"/>
    </xf>
    <xf numFmtId="166" fontId="1" fillId="0" borderId="2" xfId="0" applyNumberFormat="1" applyFont="1" applyBorder="1" applyAlignment="1">
      <alignment horizontal="center"/>
    </xf>
    <xf numFmtId="49" fontId="1" fillId="33" borderId="1" xfId="45" applyNumberFormat="1" applyFont="1" applyFill="1" applyBorder="1" applyAlignment="1" applyProtection="1">
      <alignment horizontal="left" vertical="center"/>
    </xf>
    <xf numFmtId="4" fontId="1" fillId="33" borderId="1" xfId="45" applyNumberFormat="1" applyFont="1" applyFill="1" applyBorder="1" applyAlignment="1" applyProtection="1">
      <alignment horizontal="right" vertical="center"/>
      <protection locked="0"/>
    </xf>
    <xf numFmtId="166" fontId="1" fillId="0" borderId="2" xfId="46" applyNumberFormat="1" applyFont="1" applyBorder="1" applyAlignment="1">
      <alignment horizontal="center" vertical="top" readingOrder="1"/>
    </xf>
    <xf numFmtId="0" fontId="1" fillId="0" borderId="1" xfId="0" applyFont="1" applyBorder="1" applyAlignment="1">
      <alignment horizontal="left"/>
    </xf>
    <xf numFmtId="2" fontId="1" fillId="0" borderId="1" xfId="1" applyNumberFormat="1" applyFont="1" applyBorder="1"/>
    <xf numFmtId="0" fontId="22" fillId="33" borderId="0" xfId="47" applyFont="1" applyFill="1" applyBorder="1" applyAlignment="1" applyProtection="1">
      <alignment horizontal="center"/>
    </xf>
    <xf numFmtId="173" fontId="1" fillId="33" borderId="1" xfId="47" applyNumberFormat="1" applyFont="1" applyFill="1" applyBorder="1" applyAlignment="1" applyProtection="1">
      <alignment horizontal="right" vertical="center"/>
    </xf>
    <xf numFmtId="174" fontId="1" fillId="33" borderId="1" xfId="47" applyNumberFormat="1" applyFont="1" applyFill="1" applyBorder="1" applyAlignment="1" applyProtection="1">
      <alignment horizontal="right" vertical="center"/>
    </xf>
    <xf numFmtId="0" fontId="25" fillId="34" borderId="0" xfId="0" applyFont="1" applyFill="1"/>
    <xf numFmtId="0" fontId="1" fillId="34" borderId="0" xfId="0" applyFont="1" applyFill="1"/>
    <xf numFmtId="0" fontId="14" fillId="36" borderId="0" xfId="0" applyFont="1" applyFill="1" applyBorder="1" applyAlignment="1">
      <alignment horizontal="center" vertical="center" wrapText="1"/>
    </xf>
    <xf numFmtId="6" fontId="1" fillId="0" borderId="19" xfId="0" applyNumberFormat="1" applyFont="1" applyFill="1" applyBorder="1"/>
    <xf numFmtId="0" fontId="14" fillId="36" borderId="0" xfId="0" applyFont="1" applyFill="1" applyBorder="1" applyAlignment="1">
      <alignment vertical="center"/>
    </xf>
    <xf numFmtId="0" fontId="14" fillId="34" borderId="0" xfId="0" applyFont="1" applyFill="1" applyBorder="1" applyAlignment="1">
      <alignment vertical="center"/>
    </xf>
    <xf numFmtId="169" fontId="23" fillId="33" borderId="1" xfId="47" applyNumberFormat="1" applyFont="1" applyFill="1" applyBorder="1" applyAlignment="1" applyProtection="1">
      <alignment horizontal="right"/>
    </xf>
    <xf numFmtId="169" fontId="24" fillId="33" borderId="1" xfId="47" applyNumberFormat="1" applyFont="1" applyFill="1" applyBorder="1" applyAlignment="1" applyProtection="1">
      <alignment horizontal="right"/>
    </xf>
    <xf numFmtId="0" fontId="0" fillId="0" borderId="0" xfId="0" applyFont="1" applyAlignment="1"/>
    <xf numFmtId="0" fontId="14" fillId="36" borderId="0" xfId="0" applyFont="1" applyFill="1" applyBorder="1" applyAlignment="1">
      <alignment horizontal="center" vertical="center"/>
    </xf>
    <xf numFmtId="0" fontId="14" fillId="36" borderId="0" xfId="0" applyFont="1" applyFill="1" applyBorder="1" applyAlignment="1"/>
    <xf numFmtId="0" fontId="0" fillId="34" borderId="1" xfId="0" applyFont="1" applyFill="1" applyBorder="1" applyAlignment="1"/>
    <xf numFmtId="0" fontId="14" fillId="36" borderId="0" xfId="0" applyFont="1" applyFill="1" applyBorder="1" applyAlignment="1">
      <alignment horizontal="center"/>
    </xf>
    <xf numFmtId="0" fontId="14" fillId="36" borderId="0" xfId="0" applyFont="1" applyFill="1" applyBorder="1" applyAlignment="1">
      <alignment horizontal="center" wrapText="1"/>
    </xf>
    <xf numFmtId="2" fontId="17" fillId="29" borderId="1" xfId="40" applyNumberFormat="1" applyFont="1" applyBorder="1"/>
    <xf numFmtId="9" fontId="0" fillId="0" borderId="1" xfId="2" applyFont="1" applyBorder="1" applyAlignment="1"/>
    <xf numFmtId="0" fontId="0" fillId="35" borderId="0" xfId="0" applyFont="1" applyFill="1" applyAlignment="1"/>
    <xf numFmtId="0" fontId="0" fillId="0" borderId="0" xfId="0" applyFont="1" applyAlignment="1">
      <alignment vertical="center"/>
    </xf>
    <xf numFmtId="165" fontId="0" fillId="0" borderId="0" xfId="1" applyNumberFormat="1" applyFont="1" applyAlignment="1"/>
    <xf numFmtId="175" fontId="0" fillId="0" borderId="0" xfId="0" applyNumberFormat="1" applyFont="1" applyAlignment="1"/>
    <xf numFmtId="165" fontId="0" fillId="0" borderId="0" xfId="0" applyNumberFormat="1" applyFont="1" applyAlignment="1"/>
    <xf numFmtId="176" fontId="0" fillId="0" borderId="0" xfId="1" applyNumberFormat="1" applyFont="1" applyAlignment="1"/>
    <xf numFmtId="9" fontId="23" fillId="33" borderId="0" xfId="2" applyFont="1" applyFill="1" applyBorder="1" applyAlignment="1" applyProtection="1">
      <alignment horizontal="right"/>
    </xf>
    <xf numFmtId="0" fontId="0" fillId="0" borderId="0" xfId="0" applyFont="1"/>
    <xf numFmtId="0" fontId="26" fillId="36" borderId="0" xfId="0" applyFont="1" applyFill="1" applyAlignment="1">
      <alignment horizontal="center" vertical="center" wrapText="1"/>
    </xf>
    <xf numFmtId="0" fontId="24" fillId="0" borderId="19" xfId="46" applyFont="1" applyBorder="1" applyAlignment="1">
      <alignment horizontal="left" vertical="top" readingOrder="1"/>
    </xf>
    <xf numFmtId="0" fontId="28" fillId="0" borderId="19" xfId="46" applyFont="1" applyBorder="1" applyAlignment="1">
      <alignment horizontal="left" vertical="center" readingOrder="1"/>
    </xf>
    <xf numFmtId="0" fontId="24" fillId="0" borderId="0" xfId="46" applyFont="1" applyBorder="1" applyAlignment="1">
      <alignment horizontal="center" vertical="top" readingOrder="1"/>
    </xf>
    <xf numFmtId="166" fontId="24" fillId="0" borderId="19" xfId="46" applyNumberFormat="1" applyFont="1" applyBorder="1" applyAlignment="1">
      <alignment horizontal="center" vertical="top" readingOrder="1"/>
    </xf>
    <xf numFmtId="166" fontId="28" fillId="0" borderId="19" xfId="46" applyNumberFormat="1" applyFont="1" applyBorder="1" applyAlignment="1">
      <alignment horizontal="center" vertical="center" readingOrder="1"/>
    </xf>
    <xf numFmtId="166" fontId="24" fillId="0" borderId="0" xfId="46" applyNumberFormat="1" applyFont="1" applyBorder="1" applyAlignment="1">
      <alignment horizontal="center" vertical="top" readingOrder="1"/>
    </xf>
    <xf numFmtId="0" fontId="28" fillId="0" borderId="19" xfId="46" applyFont="1" applyBorder="1" applyAlignment="1">
      <alignment horizontal="left" vertical="top" readingOrder="1"/>
    </xf>
    <xf numFmtId="0" fontId="0" fillId="34" borderId="0" xfId="0" applyFont="1" applyFill="1" applyAlignment="1">
      <alignment vertical="center"/>
    </xf>
    <xf numFmtId="0" fontId="14" fillId="36" borderId="24" xfId="0" applyFont="1" applyFill="1" applyBorder="1" applyAlignment="1">
      <alignment horizontal="right" vertical="center" wrapText="1"/>
    </xf>
    <xf numFmtId="0" fontId="0" fillId="34" borderId="0" xfId="0" applyFont="1" applyFill="1" applyAlignment="1">
      <alignment horizontal="right" vertical="top" wrapText="1"/>
    </xf>
    <xf numFmtId="0" fontId="0" fillId="34" borderId="0" xfId="0" applyFont="1" applyFill="1" applyAlignment="1">
      <alignment vertical="top"/>
    </xf>
    <xf numFmtId="0" fontId="14" fillId="36" borderId="21" xfId="0" applyFont="1" applyFill="1" applyBorder="1" applyAlignment="1">
      <alignment horizontal="right" vertical="center" wrapText="1"/>
    </xf>
    <xf numFmtId="0" fontId="0" fillId="34" borderId="0" xfId="0" applyFont="1" applyFill="1" applyAlignment="1">
      <alignment horizontal="right" vertical="top"/>
    </xf>
    <xf numFmtId="0" fontId="0" fillId="0" borderId="0" xfId="0" applyFont="1" applyAlignment="1">
      <alignment vertical="top"/>
    </xf>
    <xf numFmtId="0" fontId="0" fillId="0" borderId="25" xfId="0" applyFont="1" applyBorder="1"/>
    <xf numFmtId="167" fontId="0" fillId="0" borderId="25" xfId="0" applyNumberFormat="1" applyFont="1" applyBorder="1"/>
    <xf numFmtId="0" fontId="0" fillId="34" borderId="0" xfId="0" applyFont="1" applyFill="1"/>
    <xf numFmtId="170" fontId="0" fillId="0" borderId="25" xfId="0" applyNumberFormat="1" applyFont="1" applyBorder="1"/>
    <xf numFmtId="0" fontId="0" fillId="0" borderId="19" xfId="0" applyFont="1" applyBorder="1"/>
    <xf numFmtId="170" fontId="0" fillId="0" borderId="19" xfId="0" applyNumberFormat="1" applyFont="1" applyBorder="1"/>
    <xf numFmtId="43" fontId="0" fillId="0" borderId="19" xfId="1" applyFont="1" applyBorder="1"/>
    <xf numFmtId="0" fontId="2" fillId="0" borderId="19" xfId="0" applyFont="1" applyBorder="1" applyAlignment="1">
      <alignment horizontal="right"/>
    </xf>
    <xf numFmtId="167" fontId="2" fillId="0" borderId="19" xfId="0" applyNumberFormat="1" applyFont="1" applyBorder="1" applyAlignment="1">
      <alignment horizontal="right"/>
    </xf>
    <xf numFmtId="0" fontId="2" fillId="34" borderId="0" xfId="0" applyFont="1" applyFill="1" applyAlignment="1">
      <alignment horizontal="right"/>
    </xf>
    <xf numFmtId="0" fontId="2" fillId="0" borderId="0" xfId="0" applyFont="1" applyAlignment="1">
      <alignment horizontal="right"/>
    </xf>
    <xf numFmtId="0" fontId="0" fillId="0" borderId="0" xfId="0" applyFont="1" applyAlignment="1">
      <alignment wrapText="1"/>
    </xf>
    <xf numFmtId="172" fontId="24" fillId="33" borderId="0" xfId="47" applyNumberFormat="1" applyFont="1" applyFill="1" applyBorder="1" applyAlignment="1" applyProtection="1">
      <alignment horizontal="right"/>
    </xf>
    <xf numFmtId="0" fontId="28" fillId="33" borderId="0" xfId="47" applyFont="1" applyFill="1" applyBorder="1" applyAlignment="1" applyProtection="1">
      <alignment horizontal="left"/>
    </xf>
    <xf numFmtId="0" fontId="24" fillId="33" borderId="0" xfId="47" applyFont="1" applyFill="1" applyBorder="1" applyAlignment="1" applyProtection="1">
      <alignment horizontal="left"/>
    </xf>
    <xf numFmtId="0" fontId="24" fillId="33" borderId="0" xfId="47" applyFont="1" applyFill="1" applyBorder="1" applyAlignment="1" applyProtection="1">
      <alignment horizontal="center"/>
    </xf>
    <xf numFmtId="49" fontId="24" fillId="33" borderId="0" xfId="47" applyNumberFormat="1" applyFont="1" applyFill="1" applyBorder="1" applyAlignment="1" applyProtection="1">
      <alignment horizontal="center" wrapText="1"/>
    </xf>
    <xf numFmtId="0" fontId="24" fillId="33" borderId="0" xfId="47" applyFont="1" applyFill="1" applyBorder="1" applyAlignment="1" applyProtection="1">
      <protection locked="0"/>
    </xf>
    <xf numFmtId="49" fontId="24" fillId="33" borderId="12" xfId="47" applyNumberFormat="1" applyFont="1" applyFill="1" applyBorder="1" applyAlignment="1" applyProtection="1">
      <alignment horizontal="center" vertical="center" wrapText="1"/>
      <protection locked="0"/>
    </xf>
    <xf numFmtId="49" fontId="24" fillId="33" borderId="14" xfId="47" applyNumberFormat="1" applyFont="1" applyFill="1" applyBorder="1" applyAlignment="1" applyProtection="1">
      <alignment horizontal="center" vertical="center" wrapText="1"/>
      <protection locked="0"/>
    </xf>
    <xf numFmtId="49" fontId="14" fillId="37" borderId="13" xfId="47" applyNumberFormat="1" applyFont="1" applyFill="1" applyBorder="1" applyAlignment="1" applyProtection="1">
      <alignment horizontal="center" vertical="center" wrapText="1"/>
      <protection locked="0"/>
    </xf>
    <xf numFmtId="167" fontId="14" fillId="37" borderId="15" xfId="47" applyNumberFormat="1" applyFont="1" applyFill="1" applyBorder="1" applyAlignment="1" applyProtection="1">
      <alignment horizontal="center" vertical="center" wrapText="1"/>
      <protection locked="0"/>
    </xf>
    <xf numFmtId="172" fontId="24" fillId="33" borderId="0" xfId="47" applyNumberFormat="1" applyFont="1" applyFill="1" applyBorder="1" applyAlignment="1" applyProtection="1">
      <alignment horizontal="right" vertical="center"/>
    </xf>
    <xf numFmtId="167" fontId="24" fillId="33" borderId="0" xfId="47" applyNumberFormat="1" applyFont="1" applyFill="1" applyBorder="1" applyAlignment="1" applyProtection="1">
      <protection locked="0"/>
    </xf>
    <xf numFmtId="167" fontId="24" fillId="33" borderId="0" xfId="47" applyNumberFormat="1" applyFont="1" applyFill="1" applyBorder="1" applyAlignment="1" applyProtection="1">
      <alignment horizontal="right"/>
    </xf>
    <xf numFmtId="0" fontId="2" fillId="0" borderId="0" xfId="0" applyFont="1"/>
    <xf numFmtId="43" fontId="0" fillId="0" borderId="0" xfId="1" applyFont="1"/>
    <xf numFmtId="165" fontId="0" fillId="0" borderId="0" xfId="1" applyNumberFormat="1" applyFont="1"/>
    <xf numFmtId="0" fontId="2" fillId="0" borderId="24" xfId="0" applyFont="1" applyBorder="1" applyAlignment="1">
      <alignment wrapText="1"/>
    </xf>
    <xf numFmtId="0" fontId="14" fillId="36" borderId="24" xfId="0" applyFont="1" applyFill="1" applyBorder="1" applyAlignment="1">
      <alignment horizontal="center" wrapText="1"/>
    </xf>
    <xf numFmtId="0" fontId="2" fillId="0" borderId="0" xfId="0" applyFont="1" applyAlignment="1">
      <alignment wrapText="1"/>
    </xf>
    <xf numFmtId="0" fontId="14" fillId="36" borderId="21" xfId="0" applyFont="1" applyFill="1" applyBorder="1" applyAlignment="1">
      <alignment horizontal="center" wrapText="1"/>
    </xf>
    <xf numFmtId="37" fontId="0" fillId="0" borderId="19" xfId="1" applyNumberFormat="1" applyFont="1" applyBorder="1"/>
    <xf numFmtId="165" fontId="0" fillId="0" borderId="19" xfId="1" applyNumberFormat="1" applyFont="1" applyBorder="1"/>
    <xf numFmtId="165" fontId="0" fillId="0" borderId="0" xfId="0" applyNumberFormat="1" applyFont="1" applyBorder="1"/>
    <xf numFmtId="0" fontId="0" fillId="0" borderId="0" xfId="0" applyFont="1" applyBorder="1"/>
    <xf numFmtId="165" fontId="0" fillId="0" borderId="0" xfId="0" applyNumberFormat="1" applyFont="1"/>
    <xf numFmtId="3" fontId="0" fillId="0" borderId="0" xfId="0" applyNumberFormat="1" applyFont="1"/>
    <xf numFmtId="0" fontId="0" fillId="0" borderId="0" xfId="0" applyFont="1" applyAlignment="1">
      <alignment horizontal="center" wrapText="1"/>
    </xf>
    <xf numFmtId="10" fontId="0" fillId="0" borderId="0" xfId="2" applyNumberFormat="1" applyFont="1"/>
    <xf numFmtId="167" fontId="0" fillId="0" borderId="0" xfId="0" applyNumberFormat="1" applyFont="1"/>
    <xf numFmtId="0" fontId="24" fillId="33" borderId="0" xfId="47" applyFont="1" applyFill="1" applyBorder="1" applyAlignment="1" applyProtection="1">
      <alignment horizontal="center"/>
      <protection locked="0"/>
    </xf>
    <xf numFmtId="170" fontId="28" fillId="33" borderId="0" xfId="47" applyNumberFormat="1" applyFont="1" applyFill="1" applyBorder="1" applyAlignment="1" applyProtection="1">
      <alignment horizontal="right"/>
    </xf>
    <xf numFmtId="0" fontId="2" fillId="0" borderId="0" xfId="0" applyFont="1" applyAlignment="1"/>
    <xf numFmtId="0" fontId="14" fillId="36" borderId="24" xfId="0" applyFont="1" applyFill="1" applyBorder="1" applyAlignment="1">
      <alignment horizontal="right" wrapText="1"/>
    </xf>
    <xf numFmtId="167" fontId="0" fillId="0" borderId="25" xfId="1" applyNumberFormat="1" applyFont="1" applyBorder="1"/>
    <xf numFmtId="167" fontId="0" fillId="0" borderId="19" xfId="1" applyNumberFormat="1" applyFont="1" applyBorder="1"/>
    <xf numFmtId="167" fontId="0" fillId="0" borderId="19" xfId="0" applyNumberFormat="1" applyFont="1" applyBorder="1"/>
    <xf numFmtId="170" fontId="0" fillId="0" borderId="0" xfId="0" applyNumberFormat="1" applyFont="1"/>
    <xf numFmtId="0" fontId="0" fillId="36" borderId="20" xfId="0" applyFont="1" applyFill="1" applyBorder="1"/>
    <xf numFmtId="170" fontId="0" fillId="36" borderId="21" xfId="0" applyNumberFormat="1" applyFont="1" applyFill="1" applyBorder="1"/>
    <xf numFmtId="0" fontId="0" fillId="36" borderId="21" xfId="0" applyFont="1" applyFill="1" applyBorder="1"/>
    <xf numFmtId="170" fontId="26" fillId="36" borderId="30" xfId="0" applyNumberFormat="1" applyFont="1" applyFill="1" applyBorder="1" applyAlignment="1">
      <alignment horizontal="center" vertical="center" wrapText="1"/>
    </xf>
    <xf numFmtId="170" fontId="26" fillId="36" borderId="31" xfId="0" applyNumberFormat="1" applyFont="1" applyFill="1" applyBorder="1" applyAlignment="1">
      <alignment horizontal="center" vertical="center" wrapText="1"/>
    </xf>
    <xf numFmtId="0" fontId="26" fillId="36" borderId="31" xfId="0" applyFont="1" applyFill="1" applyBorder="1" applyAlignment="1">
      <alignment horizontal="center" vertical="center" wrapText="1"/>
    </xf>
    <xf numFmtId="170" fontId="26" fillId="36" borderId="21" xfId="0" applyNumberFormat="1" applyFont="1" applyFill="1" applyBorder="1" applyAlignment="1">
      <alignment horizontal="center" vertical="center" wrapText="1"/>
    </xf>
    <xf numFmtId="0" fontId="26" fillId="36" borderId="21" xfId="0" applyFont="1" applyFill="1" applyBorder="1" applyAlignment="1">
      <alignment horizontal="center" vertical="center" wrapText="1"/>
    </xf>
    <xf numFmtId="0" fontId="26" fillId="36" borderId="22" xfId="0" applyFont="1" applyFill="1" applyBorder="1" applyAlignment="1">
      <alignment horizontal="center" vertical="center" wrapText="1"/>
    </xf>
    <xf numFmtId="0" fontId="0" fillId="0" borderId="1" xfId="0" applyFont="1" applyBorder="1"/>
    <xf numFmtId="170" fontId="0" fillId="0" borderId="1" xfId="0" applyNumberFormat="1" applyFont="1" applyBorder="1"/>
    <xf numFmtId="43" fontId="0" fillId="0" borderId="1" xfId="1" applyFont="1" applyBorder="1"/>
    <xf numFmtId="0" fontId="2" fillId="0" borderId="1" xfId="0" applyFont="1" applyBorder="1" applyAlignment="1">
      <alignment horizontal="right"/>
    </xf>
    <xf numFmtId="170" fontId="2" fillId="0" borderId="1" xfId="0" applyNumberFormat="1" applyFont="1" applyBorder="1" applyAlignment="1">
      <alignment horizontal="right"/>
    </xf>
    <xf numFmtId="49" fontId="14" fillId="37" borderId="32" xfId="47" applyNumberFormat="1" applyFont="1" applyFill="1" applyBorder="1" applyAlignment="1" applyProtection="1">
      <alignment horizontal="center" vertical="center" wrapText="1"/>
      <protection locked="0"/>
    </xf>
    <xf numFmtId="167" fontId="1" fillId="33" borderId="32" xfId="47" applyNumberFormat="1" applyFont="1" applyFill="1" applyBorder="1" applyAlignment="1" applyProtection="1">
      <alignment horizontal="right" vertical="center"/>
    </xf>
    <xf numFmtId="166" fontId="1" fillId="0" borderId="1" xfId="0" applyNumberFormat="1" applyFont="1" applyFill="1" applyBorder="1" applyAlignment="1">
      <alignment horizontal="center"/>
    </xf>
    <xf numFmtId="169" fontId="1" fillId="33" borderId="0" xfId="47" applyNumberFormat="1" applyFont="1" applyFill="1" applyBorder="1" applyAlignment="1" applyProtection="1">
      <alignment horizontal="left"/>
    </xf>
    <xf numFmtId="178" fontId="1" fillId="33" borderId="1" xfId="45" applyNumberFormat="1" applyFont="1" applyFill="1" applyBorder="1" applyAlignment="1" applyProtection="1">
      <alignment horizontal="right" vertical="center"/>
      <protection locked="0"/>
    </xf>
    <xf numFmtId="169" fontId="24" fillId="33" borderId="0" xfId="47" applyNumberFormat="1" applyFont="1" applyFill="1" applyBorder="1" applyAlignment="1" applyProtection="1">
      <alignment horizontal="right"/>
    </xf>
    <xf numFmtId="177" fontId="1" fillId="0" borderId="0" xfId="46" applyNumberFormat="1" applyFont="1" applyFill="1" applyBorder="1" applyAlignment="1">
      <alignment horizontal="center" vertical="top" readingOrder="1"/>
    </xf>
    <xf numFmtId="0" fontId="1" fillId="0" borderId="0" xfId="0" applyFont="1" applyBorder="1" applyAlignment="1">
      <alignment horizontal="left"/>
    </xf>
    <xf numFmtId="0" fontId="1" fillId="33" borderId="0" xfId="47" applyFont="1" applyFill="1" applyBorder="1" applyAlignment="1" applyProtection="1">
      <alignment horizontal="left" vertical="center"/>
    </xf>
    <xf numFmtId="178" fontId="1" fillId="33" borderId="0" xfId="45" applyNumberFormat="1" applyFont="1" applyFill="1" applyBorder="1" applyAlignment="1" applyProtection="1">
      <alignment horizontal="right" vertical="center"/>
      <protection locked="0"/>
    </xf>
    <xf numFmtId="166" fontId="2" fillId="0" borderId="19" xfId="0" applyNumberFormat="1" applyFont="1" applyBorder="1" applyAlignment="1">
      <alignment horizontal="center"/>
    </xf>
    <xf numFmtId="49" fontId="14" fillId="37" borderId="1" xfId="50" applyNumberFormat="1" applyFont="1" applyFill="1" applyBorder="1" applyAlignment="1" applyProtection="1">
      <alignment horizontal="center" vertical="center" wrapText="1"/>
      <protection locked="0"/>
    </xf>
    <xf numFmtId="49" fontId="14" fillId="37" borderId="32" xfId="50" applyNumberFormat="1" applyFont="1" applyFill="1" applyBorder="1" applyAlignment="1" applyProtection="1">
      <alignment horizontal="center" vertical="center" wrapText="1"/>
      <protection locked="0"/>
    </xf>
    <xf numFmtId="9" fontId="0" fillId="0" borderId="0" xfId="2" applyFont="1"/>
    <xf numFmtId="0" fontId="0" fillId="0" borderId="0" xfId="0" applyFont="1" applyAlignment="1">
      <alignment horizontal="center"/>
    </xf>
    <xf numFmtId="179" fontId="28" fillId="0" borderId="19" xfId="1" applyNumberFormat="1" applyFont="1" applyBorder="1" applyAlignment="1">
      <alignment horizontal="center" vertical="top" readingOrder="1"/>
    </xf>
    <xf numFmtId="180" fontId="1" fillId="0" borderId="1" xfId="47" applyNumberFormat="1" applyFont="1" applyFill="1" applyBorder="1" applyAlignment="1" applyProtection="1">
      <alignment horizontal="right" vertical="center"/>
    </xf>
    <xf numFmtId="170" fontId="1" fillId="0" borderId="1" xfId="47" applyNumberFormat="1" applyFont="1" applyFill="1" applyBorder="1" applyAlignment="1" applyProtection="1">
      <alignment horizontal="right" vertical="center"/>
    </xf>
    <xf numFmtId="44" fontId="1" fillId="33" borderId="0" xfId="49" applyFont="1" applyFill="1" applyBorder="1" applyAlignment="1" applyProtection="1">
      <alignment horizontal="right"/>
    </xf>
    <xf numFmtId="170" fontId="1" fillId="33" borderId="0" xfId="47" applyNumberFormat="1" applyFont="1" applyFill="1" applyBorder="1" applyAlignment="1" applyProtection="1">
      <alignment horizontal="right"/>
    </xf>
    <xf numFmtId="0" fontId="21" fillId="34" borderId="0" xfId="48" applyFill="1"/>
    <xf numFmtId="166" fontId="1" fillId="0" borderId="1" xfId="46" applyNumberFormat="1" applyFont="1" applyFill="1" applyBorder="1" applyAlignment="1">
      <alignment horizontal="center" vertical="top" readingOrder="1"/>
    </xf>
    <xf numFmtId="0" fontId="14" fillId="36" borderId="24" xfId="0" applyFont="1" applyFill="1" applyBorder="1" applyAlignment="1">
      <alignment horizontal="center"/>
    </xf>
    <xf numFmtId="0" fontId="14" fillId="36" borderId="24" xfId="0" applyFont="1" applyFill="1" applyBorder="1" applyAlignment="1">
      <alignment horizontal="center" wrapText="1"/>
    </xf>
    <xf numFmtId="0" fontId="21" fillId="33" borderId="0" xfId="48" applyFill="1" applyBorder="1" applyAlignment="1" applyProtection="1">
      <alignment horizontal="left"/>
    </xf>
    <xf numFmtId="166" fontId="0" fillId="0" borderId="0" xfId="46" applyNumberFormat="1" applyFont="1" applyBorder="1" applyAlignment="1">
      <alignment horizontal="left" vertical="top" readingOrder="1"/>
    </xf>
    <xf numFmtId="0" fontId="29" fillId="34" borderId="0" xfId="0" applyFont="1" applyFill="1"/>
    <xf numFmtId="0" fontId="0" fillId="34" borderId="0" xfId="0" applyFill="1"/>
    <xf numFmtId="0" fontId="15" fillId="34" borderId="0" xfId="0" applyFont="1" applyFill="1"/>
    <xf numFmtId="0" fontId="0" fillId="34" borderId="1" xfId="0" applyFill="1" applyBorder="1"/>
    <xf numFmtId="0" fontId="0" fillId="34" borderId="0" xfId="0" applyFill="1" applyAlignment="1">
      <alignment horizontal="left"/>
    </xf>
    <xf numFmtId="167" fontId="0" fillId="34" borderId="0" xfId="0" applyNumberFormat="1" applyFill="1"/>
    <xf numFmtId="167" fontId="0" fillId="34" borderId="1" xfId="0" applyNumberFormat="1" applyFill="1" applyBorder="1"/>
    <xf numFmtId="167" fontId="0" fillId="34" borderId="0" xfId="1" applyNumberFormat="1" applyFont="1" applyFill="1"/>
    <xf numFmtId="0" fontId="14" fillId="36" borderId="24" xfId="0" applyFont="1" applyFill="1" applyBorder="1" applyAlignment="1">
      <alignment horizontal="center" vertical="center" wrapText="1"/>
    </xf>
    <xf numFmtId="181" fontId="0" fillId="34" borderId="1" xfId="0" applyNumberFormat="1" applyFill="1" applyBorder="1"/>
    <xf numFmtId="170" fontId="0" fillId="0" borderId="25" xfId="0" applyNumberFormat="1" applyFont="1" applyFill="1" applyBorder="1" applyAlignment="1">
      <alignment horizontal="center"/>
    </xf>
    <xf numFmtId="0" fontId="0" fillId="34" borderId="1" xfId="0" applyFill="1" applyBorder="1" applyAlignment="1">
      <alignment wrapText="1"/>
    </xf>
    <xf numFmtId="165" fontId="0" fillId="34" borderId="1" xfId="1" applyNumberFormat="1" applyFont="1" applyFill="1" applyBorder="1"/>
    <xf numFmtId="0" fontId="2" fillId="34" borderId="1" xfId="0" applyFont="1" applyFill="1" applyBorder="1"/>
    <xf numFmtId="167" fontId="2" fillId="34" borderId="1" xfId="0" applyNumberFormat="1" applyFont="1" applyFill="1" applyBorder="1"/>
    <xf numFmtId="0" fontId="24" fillId="38" borderId="13" xfId="47" applyFont="1" applyFill="1" applyBorder="1" applyAlignment="1" applyProtection="1">
      <alignment horizontal="left" vertical="center"/>
    </xf>
    <xf numFmtId="0" fontId="24" fillId="38" borderId="13" xfId="47" applyFont="1" applyFill="1" applyBorder="1" applyAlignment="1" applyProtection="1">
      <alignment horizontal="center" vertical="center"/>
    </xf>
    <xf numFmtId="49" fontId="24" fillId="38" borderId="13" xfId="47" applyNumberFormat="1" applyFont="1" applyFill="1" applyBorder="1" applyAlignment="1" applyProtection="1">
      <alignment horizontal="center" vertical="center" wrapText="1"/>
    </xf>
    <xf numFmtId="167" fontId="24" fillId="38" borderId="13" xfId="47" applyNumberFormat="1" applyFont="1" applyFill="1" applyBorder="1" applyAlignment="1" applyProtection="1">
      <alignment horizontal="right" vertical="center"/>
    </xf>
    <xf numFmtId="170" fontId="24" fillId="38" borderId="13" xfId="47" applyNumberFormat="1" applyFont="1" applyFill="1" applyBorder="1" applyAlignment="1" applyProtection="1">
      <protection locked="0"/>
    </xf>
    <xf numFmtId="49" fontId="24" fillId="39" borderId="13" xfId="47" applyNumberFormat="1" applyFont="1" applyFill="1" applyBorder="1" applyAlignment="1" applyProtection="1">
      <alignment horizontal="center" vertical="center" wrapText="1"/>
    </xf>
    <xf numFmtId="0" fontId="24" fillId="39" borderId="13" xfId="47" applyFont="1" applyFill="1" applyBorder="1" applyAlignment="1" applyProtection="1">
      <alignment horizontal="left" vertical="center"/>
    </xf>
    <xf numFmtId="0" fontId="24" fillId="39" borderId="13" xfId="47" applyFont="1" applyFill="1" applyBorder="1" applyAlignment="1" applyProtection="1">
      <alignment horizontal="center" vertical="center"/>
    </xf>
    <xf numFmtId="167" fontId="24" fillId="39" borderId="13" xfId="47" applyNumberFormat="1" applyFont="1" applyFill="1" applyBorder="1" applyAlignment="1" applyProtection="1">
      <alignment horizontal="right" vertical="center"/>
    </xf>
    <xf numFmtId="170" fontId="28" fillId="40" borderId="13" xfId="47" applyNumberFormat="1" applyFont="1" applyFill="1" applyBorder="1" applyAlignment="1" applyProtection="1">
      <alignment horizontal="right" vertical="center"/>
    </xf>
    <xf numFmtId="170" fontId="24" fillId="39" borderId="13" xfId="47" applyNumberFormat="1" applyFont="1" applyFill="1" applyBorder="1" applyAlignment="1" applyProtection="1">
      <protection locked="0"/>
    </xf>
    <xf numFmtId="170" fontId="28" fillId="41" borderId="13" xfId="47" applyNumberFormat="1" applyFont="1" applyFill="1" applyBorder="1" applyAlignment="1" applyProtection="1">
      <alignment horizontal="right" vertical="center"/>
    </xf>
    <xf numFmtId="170" fontId="24" fillId="41" borderId="13" xfId="47" applyNumberFormat="1" applyFont="1" applyFill="1" applyBorder="1" applyAlignment="1" applyProtection="1">
      <alignment horizontal="right" vertical="center"/>
    </xf>
    <xf numFmtId="0" fontId="0" fillId="0" borderId="0" xfId="0" applyAlignment="1">
      <alignment vertical="center" wrapText="1"/>
    </xf>
    <xf numFmtId="0" fontId="0" fillId="0" borderId="1" xfId="0" applyBorder="1"/>
    <xf numFmtId="0" fontId="0" fillId="0" borderId="1" xfId="0" applyBorder="1" applyAlignment="1">
      <alignment vertical="center" wrapText="1"/>
    </xf>
    <xf numFmtId="0" fontId="30" fillId="0" borderId="0" xfId="0" applyFont="1" applyBorder="1" applyAlignment="1">
      <alignment horizontal="center" vertical="center"/>
    </xf>
    <xf numFmtId="181" fontId="0" fillId="0" borderId="0" xfId="0" applyNumberFormat="1" applyFont="1" applyAlignment="1"/>
    <xf numFmtId="180" fontId="28" fillId="40" borderId="13" xfId="47" applyNumberFormat="1" applyFont="1" applyFill="1" applyBorder="1" applyAlignment="1" applyProtection="1">
      <alignment horizontal="right" vertical="center"/>
    </xf>
    <xf numFmtId="0" fontId="20" fillId="0" borderId="1" xfId="0" applyFont="1" applyBorder="1" applyAlignment="1">
      <alignment horizontal="center" vertical="center"/>
    </xf>
    <xf numFmtId="170" fontId="24" fillId="38" borderId="13" xfId="47" applyNumberFormat="1" applyFont="1" applyFill="1" applyBorder="1" applyAlignment="1" applyProtection="1">
      <alignment horizontal="right" vertical="center"/>
    </xf>
    <xf numFmtId="180" fontId="28" fillId="41" borderId="13" xfId="47" applyNumberFormat="1" applyFont="1" applyFill="1" applyBorder="1" applyAlignment="1" applyProtection="1">
      <alignment horizontal="right" vertical="center"/>
    </xf>
    <xf numFmtId="167" fontId="14" fillId="37" borderId="15" xfId="50" applyNumberFormat="1" applyFont="1" applyFill="1" applyBorder="1" applyAlignment="1" applyProtection="1">
      <alignment horizontal="center" vertical="center" wrapText="1"/>
      <protection locked="0"/>
    </xf>
    <xf numFmtId="180" fontId="14" fillId="37" borderId="15" xfId="50" applyNumberFormat="1" applyFont="1" applyFill="1" applyBorder="1" applyAlignment="1" applyProtection="1">
      <alignment horizontal="center" vertical="center" wrapText="1"/>
      <protection locked="0"/>
    </xf>
    <xf numFmtId="180" fontId="14" fillId="37" borderId="15" xfId="50" applyNumberFormat="1" applyFont="1" applyFill="1" applyBorder="1" applyAlignment="1" applyProtection="1">
      <alignment horizontal="center" wrapText="1"/>
      <protection locked="0"/>
    </xf>
    <xf numFmtId="180" fontId="14" fillId="37" borderId="15" xfId="50" applyNumberFormat="1" applyFont="1" applyFill="1" applyBorder="1" applyAlignment="1" applyProtection="1">
      <alignment horizontal="center" vertical="center" wrapText="1"/>
      <protection locked="0"/>
    </xf>
    <xf numFmtId="0" fontId="0" fillId="0" borderId="0" xfId="0"/>
    <xf numFmtId="0" fontId="24" fillId="33" borderId="0" xfId="50" applyFont="1" applyFill="1" applyBorder="1" applyAlignment="1" applyProtection="1">
      <protection locked="0"/>
    </xf>
    <xf numFmtId="0" fontId="24" fillId="33" borderId="0" xfId="50" applyFont="1" applyFill="1" applyBorder="1" applyAlignment="1" applyProtection="1">
      <protection locked="0"/>
    </xf>
    <xf numFmtId="0" fontId="0" fillId="0" borderId="19" xfId="0" applyFont="1" applyBorder="1"/>
    <xf numFmtId="164" fontId="0" fillId="0" borderId="19" xfId="2" applyNumberFormat="1" applyFont="1" applyBorder="1"/>
    <xf numFmtId="170" fontId="24" fillId="44" borderId="13" xfId="47" applyNumberFormat="1" applyFont="1" applyFill="1" applyBorder="1" applyAlignment="1" applyProtection="1">
      <alignment horizontal="right" vertical="center"/>
    </xf>
    <xf numFmtId="0" fontId="24" fillId="44" borderId="13" xfId="47" applyFont="1" applyFill="1" applyBorder="1" applyAlignment="1" applyProtection="1">
      <alignment horizontal="left" vertical="center"/>
    </xf>
    <xf numFmtId="0" fontId="24" fillId="44" borderId="13" xfId="47" applyFont="1" applyFill="1" applyBorder="1" applyAlignment="1" applyProtection="1">
      <alignment horizontal="center" vertical="center"/>
    </xf>
    <xf numFmtId="49" fontId="24" fillId="44" borderId="13" xfId="47" applyNumberFormat="1" applyFont="1" applyFill="1" applyBorder="1" applyAlignment="1" applyProtection="1">
      <alignment horizontal="center" vertical="center" wrapText="1"/>
    </xf>
    <xf numFmtId="167" fontId="24" fillId="44" borderId="13" xfId="47" applyNumberFormat="1" applyFont="1" applyFill="1" applyBorder="1" applyAlignment="1" applyProtection="1">
      <alignment horizontal="right" vertical="center"/>
    </xf>
    <xf numFmtId="180" fontId="28" fillId="45" borderId="13" xfId="47" applyNumberFormat="1" applyFont="1" applyFill="1" applyBorder="1" applyAlignment="1" applyProtection="1">
      <alignment horizontal="right" vertical="center"/>
    </xf>
    <xf numFmtId="170" fontId="28" fillId="45" borderId="13" xfId="47" applyNumberFormat="1" applyFont="1" applyFill="1" applyBorder="1" applyAlignment="1" applyProtection="1">
      <alignment horizontal="right" vertical="center"/>
    </xf>
    <xf numFmtId="170" fontId="24" fillId="44" borderId="13" xfId="47" applyNumberFormat="1" applyFont="1" applyFill="1" applyBorder="1" applyAlignment="1" applyProtection="1">
      <protection locked="0"/>
    </xf>
    <xf numFmtId="0" fontId="2" fillId="0" borderId="1" xfId="0" applyFont="1" applyBorder="1"/>
    <xf numFmtId="170" fontId="2" fillId="0" borderId="1" xfId="0" applyNumberFormat="1" applyFont="1" applyBorder="1"/>
    <xf numFmtId="43" fontId="2" fillId="0" borderId="1" xfId="1" applyFont="1" applyBorder="1"/>
    <xf numFmtId="43" fontId="1" fillId="0" borderId="1" xfId="1" applyFont="1" applyBorder="1"/>
    <xf numFmtId="2" fontId="0" fillId="43" borderId="1" xfId="0" applyNumberFormat="1" applyFont="1" applyFill="1" applyBorder="1" applyAlignment="1"/>
    <xf numFmtId="0" fontId="0" fillId="41" borderId="1" xfId="0" applyFill="1" applyBorder="1"/>
    <xf numFmtId="165" fontId="0" fillId="0" borderId="19" xfId="1" applyNumberFormat="1" applyFont="1" applyFill="1" applyBorder="1"/>
    <xf numFmtId="37" fontId="0" fillId="0" borderId="19" xfId="1" applyNumberFormat="1" applyFont="1" applyFill="1" applyBorder="1"/>
    <xf numFmtId="0" fontId="0" fillId="0" borderId="0" xfId="0" applyFont="1" applyFill="1"/>
    <xf numFmtId="0" fontId="0" fillId="0" borderId="19" xfId="0" applyFont="1" applyFill="1" applyBorder="1"/>
    <xf numFmtId="0" fontId="0" fillId="41" borderId="19" xfId="0" applyFont="1" applyFill="1" applyBorder="1"/>
    <xf numFmtId="183" fontId="0" fillId="0" borderId="19" xfId="0" applyNumberFormat="1" applyFont="1" applyFill="1" applyBorder="1"/>
    <xf numFmtId="183" fontId="0" fillId="0" borderId="19" xfId="0" applyNumberFormat="1" applyFont="1" applyBorder="1"/>
    <xf numFmtId="181" fontId="0" fillId="41" borderId="1" xfId="0" applyNumberFormat="1" applyFill="1" applyBorder="1"/>
    <xf numFmtId="2" fontId="0" fillId="0" borderId="0" xfId="0" applyNumberFormat="1" applyFont="1"/>
    <xf numFmtId="182" fontId="0" fillId="0" borderId="0" xfId="0" applyNumberFormat="1" applyFont="1"/>
    <xf numFmtId="0" fontId="0" fillId="46" borderId="19" xfId="0" applyFont="1" applyFill="1" applyBorder="1" applyAlignment="1">
      <alignment horizontal="right"/>
    </xf>
    <xf numFmtId="0" fontId="14" fillId="47" borderId="21" xfId="0" applyFont="1" applyFill="1" applyBorder="1" applyAlignment="1">
      <alignment horizontal="center" wrapText="1"/>
    </xf>
    <xf numFmtId="0" fontId="14" fillId="48" borderId="21" xfId="0" applyFont="1" applyFill="1" applyBorder="1" applyAlignment="1">
      <alignment horizontal="center" wrapText="1"/>
    </xf>
    <xf numFmtId="0" fontId="14" fillId="49" borderId="21" xfId="0" applyFont="1" applyFill="1" applyBorder="1" applyAlignment="1">
      <alignment horizontal="center" wrapText="1"/>
    </xf>
    <xf numFmtId="165" fontId="0" fillId="50" borderId="19" xfId="1" applyNumberFormat="1" applyFont="1" applyFill="1" applyBorder="1"/>
    <xf numFmtId="165" fontId="0" fillId="50" borderId="19" xfId="0" applyNumberFormat="1" applyFont="1" applyFill="1" applyBorder="1"/>
    <xf numFmtId="10" fontId="0" fillId="0" borderId="19" xfId="2" applyNumberFormat="1" applyFont="1" applyBorder="1" applyAlignment="1">
      <alignment horizontal="center" vertical="center"/>
    </xf>
    <xf numFmtId="165" fontId="0" fillId="51" borderId="19" xfId="1" applyNumberFormat="1" applyFont="1" applyFill="1" applyBorder="1"/>
    <xf numFmtId="165" fontId="0" fillId="51" borderId="19" xfId="0" applyNumberFormat="1" applyFont="1" applyFill="1" applyBorder="1"/>
    <xf numFmtId="43" fontId="0" fillId="0" borderId="0" xfId="0" applyNumberFormat="1" applyFont="1"/>
    <xf numFmtId="10" fontId="0" fillId="0" borderId="0" xfId="0" applyNumberFormat="1" applyFont="1"/>
    <xf numFmtId="1" fontId="0" fillId="0" borderId="0" xfId="0" applyNumberFormat="1" applyFont="1"/>
    <xf numFmtId="10" fontId="0" fillId="0" borderId="19" xfId="2" applyNumberFormat="1" applyFont="1" applyBorder="1"/>
    <xf numFmtId="0" fontId="0" fillId="51" borderId="0" xfId="0" applyFont="1" applyFill="1"/>
    <xf numFmtId="165" fontId="0" fillId="51" borderId="0" xfId="0" applyNumberFormat="1" applyFont="1" applyFill="1"/>
    <xf numFmtId="0" fontId="0" fillId="50" borderId="0" xfId="0" applyFont="1" applyFill="1"/>
    <xf numFmtId="165" fontId="0" fillId="50" borderId="0" xfId="1" applyNumberFormat="1" applyFont="1" applyFill="1"/>
    <xf numFmtId="164" fontId="0" fillId="0" borderId="19" xfId="2" applyNumberFormat="1" applyFont="1" applyFill="1" applyBorder="1"/>
    <xf numFmtId="2" fontId="0" fillId="41" borderId="0" xfId="0" applyNumberFormat="1" applyFont="1" applyFill="1"/>
    <xf numFmtId="182" fontId="0" fillId="41" borderId="0" xfId="0" applyNumberFormat="1" applyFont="1" applyFill="1"/>
    <xf numFmtId="0" fontId="0" fillId="0" borderId="1" xfId="0" applyFill="1" applyBorder="1"/>
    <xf numFmtId="0" fontId="0" fillId="0" borderId="0" xfId="0" applyFill="1" applyBorder="1"/>
    <xf numFmtId="0" fontId="24" fillId="34" borderId="0" xfId="0" applyFont="1" applyFill="1"/>
    <xf numFmtId="164" fontId="0" fillId="51" borderId="19" xfId="2" applyNumberFormat="1" applyFont="1" applyFill="1" applyBorder="1"/>
    <xf numFmtId="0" fontId="0" fillId="0" borderId="0" xfId="0" applyFont="1" applyAlignment="1">
      <alignment wrapText="1"/>
    </xf>
    <xf numFmtId="0" fontId="30" fillId="0" borderId="1" xfId="0" applyFont="1" applyBorder="1" applyAlignment="1">
      <alignment horizontal="center" vertical="center"/>
    </xf>
    <xf numFmtId="0" fontId="14" fillId="36" borderId="24" xfId="0" applyFont="1" applyFill="1" applyBorder="1" applyAlignment="1">
      <alignment horizontal="center"/>
    </xf>
    <xf numFmtId="0" fontId="14" fillId="36" borderId="24" xfId="0" applyFont="1" applyFill="1" applyBorder="1" applyAlignment="1">
      <alignment horizontal="center" wrapText="1"/>
    </xf>
    <xf numFmtId="180" fontId="28" fillId="41" borderId="13" xfId="50" applyNumberFormat="1" applyFont="1" applyFill="1" applyBorder="1" applyAlignment="1" applyProtection="1">
      <alignment horizontal="right" vertical="center"/>
    </xf>
    <xf numFmtId="180" fontId="24" fillId="41" borderId="13" xfId="50" applyNumberFormat="1" applyFont="1" applyFill="1" applyBorder="1" applyAlignment="1" applyProtection="1">
      <alignment horizontal="right" vertical="center"/>
    </xf>
    <xf numFmtId="1" fontId="0" fillId="52" borderId="19" xfId="1" applyNumberFormat="1" applyFont="1" applyFill="1" applyBorder="1"/>
    <xf numFmtId="43" fontId="0" fillId="52" borderId="19" xfId="0" applyNumberFormat="1" applyFont="1" applyFill="1" applyBorder="1"/>
    <xf numFmtId="43" fontId="0" fillId="41" borderId="19" xfId="0" applyNumberFormat="1" applyFont="1" applyFill="1" applyBorder="1"/>
    <xf numFmtId="43" fontId="0" fillId="0" borderId="19" xfId="0" applyNumberFormat="1" applyFont="1" applyBorder="1"/>
    <xf numFmtId="43" fontId="0" fillId="0" borderId="19" xfId="0" applyNumberFormat="1" applyFont="1" applyFill="1" applyBorder="1"/>
    <xf numFmtId="0" fontId="0" fillId="0" borderId="19" xfId="0" applyFont="1" applyBorder="1" applyAlignment="1">
      <alignment horizontal="right"/>
    </xf>
    <xf numFmtId="0" fontId="2" fillId="0" borderId="1" xfId="0" applyFont="1" applyFill="1" applyBorder="1" applyAlignment="1">
      <alignment vertical="center"/>
    </xf>
    <xf numFmtId="0" fontId="2" fillId="0" borderId="1" xfId="0" applyFont="1" applyFill="1" applyBorder="1" applyAlignment="1"/>
    <xf numFmtId="0" fontId="0" fillId="0" borderId="1" xfId="0" applyFont="1" applyFill="1" applyBorder="1" applyAlignment="1">
      <alignment vertical="center"/>
    </xf>
    <xf numFmtId="0" fontId="0" fillId="0" borderId="1" xfId="0" applyFont="1" applyFill="1" applyBorder="1" applyAlignment="1"/>
    <xf numFmtId="0" fontId="2" fillId="40" borderId="1" xfId="0" applyFont="1" applyFill="1" applyBorder="1" applyAlignment="1">
      <alignment vertical="center"/>
    </xf>
    <xf numFmtId="0" fontId="24" fillId="0" borderId="19" xfId="46" applyFont="1" applyFill="1" applyBorder="1" applyAlignment="1">
      <alignment horizontal="left" vertical="top" readingOrder="1"/>
    </xf>
    <xf numFmtId="0" fontId="32" fillId="0" borderId="0" xfId="0" applyFont="1" applyAlignment="1">
      <alignment vertical="center"/>
    </xf>
    <xf numFmtId="0" fontId="0" fillId="53" borderId="1" xfId="0" applyFill="1" applyBorder="1" applyAlignment="1">
      <alignment vertical="center" wrapText="1"/>
    </xf>
    <xf numFmtId="0" fontId="33" fillId="0" borderId="0" xfId="0" applyFont="1" applyAlignment="1">
      <alignment vertical="center"/>
    </xf>
    <xf numFmtId="165" fontId="0" fillId="0" borderId="0" xfId="0" applyNumberFormat="1"/>
    <xf numFmtId="0" fontId="0" fillId="0" borderId="1" xfId="0" quotePrefix="1" applyBorder="1" applyAlignment="1">
      <alignment vertical="center" wrapText="1"/>
    </xf>
    <xf numFmtId="177" fontId="0" fillId="0" borderId="0" xfId="0" applyNumberFormat="1"/>
    <xf numFmtId="0" fontId="0" fillId="54" borderId="1" xfId="0" applyFill="1" applyBorder="1" applyAlignment="1">
      <alignment vertical="center" wrapText="1"/>
    </xf>
    <xf numFmtId="3" fontId="2" fillId="54" borderId="1" xfId="0" applyNumberFormat="1" applyFont="1" applyFill="1" applyBorder="1" applyAlignment="1">
      <alignment vertical="center" wrapText="1"/>
    </xf>
    <xf numFmtId="0" fontId="0" fillId="54" borderId="1" xfId="0" quotePrefix="1" applyFill="1" applyBorder="1" applyAlignment="1">
      <alignment vertical="center" wrapText="1"/>
    </xf>
    <xf numFmtId="0" fontId="2" fillId="54" borderId="1" xfId="0" applyFont="1" applyFill="1" applyBorder="1" applyAlignment="1">
      <alignment vertical="center" wrapText="1"/>
    </xf>
    <xf numFmtId="2" fontId="0" fillId="0" borderId="1" xfId="0" applyNumberFormat="1" applyBorder="1" applyAlignment="1">
      <alignment vertical="center" wrapText="1"/>
    </xf>
    <xf numFmtId="165" fontId="2" fillId="54" borderId="1" xfId="1" applyNumberFormat="1" applyFont="1" applyFill="1" applyBorder="1" applyAlignment="1">
      <alignment vertical="center" wrapText="1"/>
    </xf>
    <xf numFmtId="0" fontId="0" fillId="55" borderId="1" xfId="0" applyFill="1" applyBorder="1"/>
    <xf numFmtId="3" fontId="0" fillId="55" borderId="1" xfId="0" applyNumberFormat="1" applyFill="1" applyBorder="1"/>
    <xf numFmtId="165" fontId="0" fillId="55" borderId="1" xfId="0" applyNumberFormat="1" applyFill="1" applyBorder="1"/>
    <xf numFmtId="0" fontId="0" fillId="0" borderId="0" xfId="0" applyAlignment="1">
      <alignment wrapText="1"/>
    </xf>
    <xf numFmtId="2" fontId="0" fillId="0" borderId="0" xfId="0" applyNumberFormat="1"/>
    <xf numFmtId="175" fontId="0" fillId="0" borderId="0" xfId="0" applyNumberFormat="1"/>
    <xf numFmtId="164" fontId="0" fillId="46" borderId="19" xfId="2" applyNumberFormat="1" applyFont="1" applyFill="1" applyBorder="1"/>
    <xf numFmtId="1" fontId="0" fillId="41" borderId="19" xfId="1" applyNumberFormat="1" applyFont="1" applyFill="1" applyBorder="1"/>
    <xf numFmtId="165" fontId="0" fillId="46" borderId="19" xfId="1" applyNumberFormat="1" applyFont="1" applyFill="1" applyBorder="1"/>
    <xf numFmtId="165" fontId="0" fillId="46" borderId="19" xfId="0" applyNumberFormat="1" applyFont="1" applyFill="1" applyBorder="1"/>
    <xf numFmtId="10" fontId="0" fillId="46" borderId="19" xfId="2" applyNumberFormat="1" applyFont="1" applyFill="1" applyBorder="1"/>
    <xf numFmtId="37" fontId="0" fillId="46" borderId="19" xfId="1" applyNumberFormat="1" applyFont="1" applyFill="1" applyBorder="1"/>
    <xf numFmtId="183" fontId="0" fillId="46" borderId="19" xfId="0" applyNumberFormat="1" applyFont="1" applyFill="1" applyBorder="1"/>
    <xf numFmtId="165" fontId="0" fillId="0" borderId="19" xfId="0" applyNumberFormat="1" applyFont="1" applyFill="1" applyBorder="1"/>
    <xf numFmtId="10" fontId="0" fillId="0" borderId="19" xfId="2" applyNumberFormat="1" applyFont="1" applyFill="1" applyBorder="1"/>
    <xf numFmtId="167" fontId="0" fillId="56" borderId="25" xfId="1" applyNumberFormat="1" applyFont="1" applyFill="1" applyBorder="1"/>
    <xf numFmtId="167" fontId="0" fillId="56" borderId="19" xfId="1" applyNumberFormat="1" applyFont="1" applyFill="1" applyBorder="1"/>
    <xf numFmtId="167" fontId="0" fillId="56" borderId="19" xfId="0" applyNumberFormat="1" applyFont="1" applyFill="1" applyBorder="1"/>
    <xf numFmtId="0" fontId="34" fillId="0" borderId="0" xfId="0" applyFont="1" applyAlignment="1"/>
    <xf numFmtId="0" fontId="0" fillId="57" borderId="1" xfId="0" applyFill="1" applyBorder="1" applyAlignment="1">
      <alignment vertical="center" wrapText="1"/>
    </xf>
    <xf numFmtId="0" fontId="0" fillId="0" borderId="36" xfId="0" applyBorder="1" applyAlignment="1">
      <alignment vertical="center" wrapText="1"/>
    </xf>
    <xf numFmtId="0" fontId="17" fillId="58" borderId="1" xfId="0" applyFont="1" applyFill="1" applyBorder="1" applyAlignment="1">
      <alignment vertical="center" wrapText="1"/>
    </xf>
    <xf numFmtId="0" fontId="2" fillId="34" borderId="37" xfId="0" applyFont="1" applyFill="1" applyBorder="1" applyAlignment="1">
      <alignment vertical="center" wrapText="1"/>
    </xf>
    <xf numFmtId="0" fontId="2" fillId="34" borderId="38" xfId="0" applyFont="1" applyFill="1" applyBorder="1" applyAlignment="1">
      <alignment vertical="center" wrapText="1"/>
    </xf>
    <xf numFmtId="0" fontId="2" fillId="34" borderId="39" xfId="0" applyFont="1" applyFill="1" applyBorder="1" applyAlignment="1">
      <alignment vertical="center" wrapText="1"/>
    </xf>
    <xf numFmtId="165" fontId="0" fillId="41" borderId="19" xfId="1" applyNumberFormat="1" applyFont="1" applyFill="1" applyBorder="1"/>
    <xf numFmtId="164" fontId="0" fillId="41" borderId="19" xfId="2" applyNumberFormat="1" applyFont="1" applyFill="1" applyBorder="1"/>
    <xf numFmtId="37" fontId="0" fillId="41" borderId="19" xfId="1" applyNumberFormat="1" applyFont="1" applyFill="1" applyBorder="1"/>
    <xf numFmtId="183" fontId="0" fillId="41" borderId="19" xfId="0" applyNumberFormat="1" applyFont="1" applyFill="1" applyBorder="1"/>
    <xf numFmtId="43" fontId="0" fillId="41" borderId="0" xfId="0" applyNumberFormat="1" applyFont="1" applyFill="1"/>
    <xf numFmtId="165" fontId="0" fillId="41" borderId="0" xfId="0" applyNumberFormat="1" applyFont="1" applyFill="1"/>
    <xf numFmtId="10" fontId="0" fillId="41" borderId="0" xfId="0" applyNumberFormat="1" applyFont="1" applyFill="1"/>
    <xf numFmtId="1" fontId="0" fillId="41" borderId="0" xfId="0" applyNumberFormat="1" applyFont="1" applyFill="1"/>
    <xf numFmtId="0" fontId="31" fillId="0" borderId="1" xfId="0" applyFont="1" applyBorder="1"/>
    <xf numFmtId="165" fontId="0" fillId="0" borderId="1" xfId="1" applyNumberFormat="1" applyFont="1" applyBorder="1"/>
    <xf numFmtId="9" fontId="0" fillId="0" borderId="1" xfId="2" applyFont="1" applyBorder="1"/>
    <xf numFmtId="0" fontId="0" fillId="57" borderId="36" xfId="0" applyFill="1" applyBorder="1" applyAlignment="1">
      <alignment vertical="center" wrapText="1"/>
    </xf>
    <xf numFmtId="0" fontId="24" fillId="57" borderId="1" xfId="0" applyFont="1" applyFill="1" applyBorder="1" applyAlignment="1">
      <alignment vertical="center" wrapText="1"/>
    </xf>
    <xf numFmtId="0" fontId="0" fillId="0" borderId="2" xfId="0" applyBorder="1" applyAlignment="1">
      <alignment vertical="center" wrapText="1"/>
    </xf>
    <xf numFmtId="166" fontId="0" fillId="0" borderId="0" xfId="0" applyNumberFormat="1" applyFont="1"/>
    <xf numFmtId="2" fontId="30" fillId="0" borderId="1" xfId="0" applyNumberFormat="1" applyFont="1" applyBorder="1" applyAlignment="1">
      <alignment horizontal="center" vertical="center"/>
    </xf>
    <xf numFmtId="2" fontId="20" fillId="0" borderId="1" xfId="0" applyNumberFormat="1" applyFont="1" applyBorder="1" applyAlignment="1">
      <alignment horizontal="center" vertical="center"/>
    </xf>
    <xf numFmtId="2" fontId="2" fillId="42" borderId="1" xfId="0" applyNumberFormat="1" applyFont="1" applyFill="1" applyBorder="1" applyAlignment="1"/>
    <xf numFmtId="0" fontId="2" fillId="42" borderId="1" xfId="0" applyFont="1" applyFill="1" applyBorder="1" applyAlignment="1"/>
    <xf numFmtId="1" fontId="2" fillId="42" borderId="1" xfId="0" applyNumberFormat="1" applyFont="1" applyFill="1" applyBorder="1" applyAlignment="1"/>
    <xf numFmtId="0" fontId="0" fillId="0" borderId="1" xfId="0" applyFill="1" applyBorder="1" applyAlignment="1">
      <alignment vertical="center" wrapText="1"/>
    </xf>
    <xf numFmtId="0" fontId="0" fillId="0" borderId="1" xfId="0" applyFont="1" applyBorder="1" applyAlignment="1">
      <alignment wrapText="1"/>
    </xf>
    <xf numFmtId="0" fontId="0" fillId="0" borderId="0" xfId="0" applyFill="1" applyAlignment="1">
      <alignment vertical="center" wrapText="1"/>
    </xf>
    <xf numFmtId="0" fontId="2" fillId="0" borderId="1" xfId="0" applyFont="1" applyFill="1" applyBorder="1" applyAlignment="1">
      <alignment wrapText="1"/>
    </xf>
    <xf numFmtId="166" fontId="2" fillId="0" borderId="1" xfId="0" applyNumberFormat="1" applyFont="1" applyBorder="1"/>
    <xf numFmtId="0" fontId="0" fillId="0" borderId="28" xfId="0" applyFont="1" applyBorder="1" applyAlignment="1">
      <alignment horizontal="left" wrapText="1"/>
    </xf>
    <xf numFmtId="0" fontId="0" fillId="0" borderId="0" xfId="0" applyFont="1" applyAlignment="1">
      <alignment horizontal="left" wrapText="1"/>
    </xf>
    <xf numFmtId="0" fontId="0" fillId="0" borderId="0" xfId="0" applyFont="1" applyAlignment="1">
      <alignment wrapText="1"/>
    </xf>
    <xf numFmtId="166" fontId="24" fillId="0" borderId="1" xfId="46" applyNumberFormat="1" applyFont="1" applyBorder="1" applyAlignment="1">
      <alignment horizontal="right" vertical="center" readingOrder="1"/>
    </xf>
    <xf numFmtId="168" fontId="1" fillId="0" borderId="1" xfId="51" applyNumberFormat="1" applyFont="1" applyFill="1" applyBorder="1" applyAlignment="1" applyProtection="1">
      <alignment horizontal="right" vertical="center"/>
      <protection locked="0"/>
    </xf>
    <xf numFmtId="165" fontId="0" fillId="55" borderId="1" xfId="1" applyNumberFormat="1" applyFont="1" applyFill="1" applyBorder="1"/>
    <xf numFmtId="166" fontId="2" fillId="0" borderId="0" xfId="0" applyNumberFormat="1" applyFont="1" applyAlignment="1">
      <alignment horizontal="right" wrapText="1"/>
    </xf>
    <xf numFmtId="0" fontId="0" fillId="0" borderId="0" xfId="0" applyFont="1" applyBorder="1" applyAlignment="1">
      <alignment horizontal="left" wrapText="1"/>
    </xf>
    <xf numFmtId="167" fontId="2" fillId="0" borderId="0" xfId="0" applyNumberFormat="1" applyFont="1" applyBorder="1" applyAlignment="1">
      <alignment horizontal="right"/>
    </xf>
    <xf numFmtId="0" fontId="2" fillId="0" borderId="0" xfId="0" applyFont="1" applyAlignment="1">
      <alignment horizontal="center" wrapText="1"/>
    </xf>
    <xf numFmtId="0" fontId="14" fillId="59" borderId="1" xfId="0" applyFont="1" applyFill="1" applyBorder="1" applyAlignment="1">
      <alignment horizontal="left" vertical="center" wrapText="1"/>
    </xf>
    <xf numFmtId="0" fontId="2" fillId="0" borderId="0" xfId="0" applyFont="1" applyAlignment="1">
      <alignment horizontal="center" vertical="center"/>
    </xf>
    <xf numFmtId="0" fontId="2" fillId="0" borderId="26" xfId="0" applyFont="1" applyBorder="1" applyAlignment="1">
      <alignment horizontal="center" vertical="center"/>
    </xf>
    <xf numFmtId="167" fontId="14" fillId="37" borderId="16" xfId="47" applyNumberFormat="1" applyFont="1" applyFill="1" applyBorder="1" applyAlignment="1" applyProtection="1">
      <alignment horizontal="center" vertical="center" wrapText="1"/>
      <protection locked="0"/>
    </xf>
    <xf numFmtId="167" fontId="14" fillId="37" borderId="17" xfId="47" applyNumberFormat="1" applyFont="1" applyFill="1" applyBorder="1" applyAlignment="1" applyProtection="1">
      <alignment horizontal="center" vertical="center" wrapText="1"/>
      <protection locked="0"/>
    </xf>
    <xf numFmtId="167" fontId="14" fillId="37" borderId="18" xfId="47" applyNumberFormat="1" applyFont="1" applyFill="1" applyBorder="1" applyAlignment="1" applyProtection="1">
      <alignment horizontal="center" vertical="center" wrapText="1"/>
      <protection locked="0"/>
    </xf>
    <xf numFmtId="0" fontId="26" fillId="36" borderId="21" xfId="0" applyFont="1" applyFill="1" applyBorder="1" applyAlignment="1">
      <alignment horizontal="center" vertical="center" wrapText="1"/>
    </xf>
    <xf numFmtId="0" fontId="26" fillId="36" borderId="22" xfId="0" applyFont="1" applyFill="1" applyBorder="1" applyAlignment="1">
      <alignment horizontal="center" vertical="center" wrapText="1"/>
    </xf>
    <xf numFmtId="0" fontId="14" fillId="36" borderId="0" xfId="0" applyFont="1" applyFill="1" applyBorder="1" applyAlignment="1">
      <alignment horizontal="center" vertical="center" wrapText="1"/>
    </xf>
    <xf numFmtId="0" fontId="14" fillId="36" borderId="23" xfId="0" applyFont="1" applyFill="1" applyBorder="1" applyAlignment="1">
      <alignment horizontal="center" wrapText="1"/>
    </xf>
    <xf numFmtId="0" fontId="14" fillId="36" borderId="29" xfId="0" applyFont="1" applyFill="1" applyBorder="1" applyAlignment="1">
      <alignment horizontal="center" wrapText="1"/>
    </xf>
    <xf numFmtId="0" fontId="14" fillId="36" borderId="27" xfId="0" applyFont="1" applyFill="1" applyBorder="1" applyAlignment="1">
      <alignment horizontal="center" wrapText="1"/>
    </xf>
    <xf numFmtId="0" fontId="2" fillId="0" borderId="26" xfId="0" applyFont="1" applyBorder="1" applyAlignment="1">
      <alignment horizontal="center" wrapText="1"/>
    </xf>
    <xf numFmtId="0" fontId="14" fillId="47" borderId="24" xfId="0" applyFont="1" applyFill="1" applyBorder="1" applyAlignment="1">
      <alignment horizontal="center" wrapText="1"/>
    </xf>
    <xf numFmtId="0" fontId="2" fillId="0" borderId="33" xfId="0" applyFont="1" applyBorder="1" applyAlignment="1">
      <alignment horizontal="center" wrapText="1"/>
    </xf>
    <xf numFmtId="0" fontId="14" fillId="49" borderId="24" xfId="0" applyFont="1" applyFill="1" applyBorder="1" applyAlignment="1">
      <alignment horizontal="center" wrapText="1"/>
    </xf>
    <xf numFmtId="0" fontId="14" fillId="48" borderId="24" xfId="0" applyFont="1" applyFill="1" applyBorder="1" applyAlignment="1">
      <alignment horizontal="center" wrapText="1"/>
    </xf>
    <xf numFmtId="0" fontId="0" fillId="0" borderId="0" xfId="0" applyFont="1" applyAlignment="1">
      <alignment horizontal="left" vertical="center" wrapText="1"/>
    </xf>
    <xf numFmtId="0" fontId="2" fillId="34" borderId="0" xfId="0" applyFont="1" applyFill="1" applyAlignment="1">
      <alignment horizontal="center"/>
    </xf>
    <xf numFmtId="0" fontId="14" fillId="36" borderId="0" xfId="0" applyFont="1" applyFill="1" applyAlignment="1">
      <alignment horizontal="left"/>
    </xf>
    <xf numFmtId="0" fontId="0" fillId="34" borderId="34" xfId="0" applyFont="1" applyFill="1" applyBorder="1" applyAlignment="1">
      <alignment horizontal="center" vertical="center" wrapText="1"/>
    </xf>
    <xf numFmtId="0" fontId="0" fillId="34" borderId="35" xfId="0" applyFont="1" applyFill="1" applyBorder="1" applyAlignment="1">
      <alignment horizontal="center" vertical="center" wrapText="1"/>
    </xf>
    <xf numFmtId="0" fontId="0" fillId="34" borderId="36" xfId="0" applyFont="1" applyFill="1" applyBorder="1" applyAlignment="1">
      <alignment horizontal="center" vertical="center" wrapText="1"/>
    </xf>
    <xf numFmtId="0" fontId="2" fillId="34" borderId="1" xfId="0" applyFont="1" applyFill="1" applyBorder="1" applyAlignment="1">
      <alignment horizontal="center"/>
    </xf>
    <xf numFmtId="0" fontId="2" fillId="34" borderId="1" xfId="0" applyFont="1" applyFill="1" applyBorder="1" applyAlignment="1">
      <alignment horizontal="center" vertical="center" wrapText="1"/>
    </xf>
    <xf numFmtId="167" fontId="2" fillId="34" borderId="1" xfId="0" applyNumberFormat="1" applyFont="1" applyFill="1" applyBorder="1" applyAlignment="1">
      <alignment horizontal="center"/>
    </xf>
    <xf numFmtId="0" fontId="0" fillId="34" borderId="0" xfId="0" applyFill="1" applyAlignment="1">
      <alignment horizontal="left" wrapText="1"/>
    </xf>
    <xf numFmtId="0" fontId="29" fillId="34" borderId="0" xfId="0" applyFont="1" applyFill="1" applyAlignment="1">
      <alignment horizontal="center" vertical="center" wrapText="1"/>
    </xf>
    <xf numFmtId="0" fontId="0" fillId="34" borderId="1" xfId="0" applyFill="1" applyBorder="1" applyAlignment="1">
      <alignment horizontal="center" vertical="center" wrapText="1"/>
    </xf>
    <xf numFmtId="0" fontId="14" fillId="36" borderId="24" xfId="0" applyFont="1" applyFill="1" applyBorder="1" applyAlignment="1">
      <alignment horizontal="center"/>
    </xf>
    <xf numFmtId="0" fontId="14" fillId="36" borderId="24" xfId="0" applyFont="1" applyFill="1" applyBorder="1" applyAlignment="1">
      <alignment horizontal="center" wrapText="1"/>
    </xf>
    <xf numFmtId="0" fontId="2" fillId="0" borderId="0" xfId="0" applyFont="1" applyAlignment="1">
      <alignment horizontal="center" vertical="top" wrapText="1"/>
    </xf>
    <xf numFmtId="0" fontId="2" fillId="0" borderId="26" xfId="0" applyFont="1" applyBorder="1" applyAlignment="1">
      <alignment horizontal="center" vertical="top" wrapText="1"/>
    </xf>
    <xf numFmtId="0" fontId="14" fillId="36" borderId="21" xfId="0" applyFont="1" applyFill="1" applyBorder="1" applyAlignment="1">
      <alignment horizontal="center"/>
    </xf>
    <xf numFmtId="0" fontId="30" fillId="0" borderId="1" xfId="0" applyFont="1" applyBorder="1" applyAlignment="1">
      <alignment horizontal="center" vertical="center"/>
    </xf>
    <xf numFmtId="0" fontId="21" fillId="0" borderId="1" xfId="48" applyBorder="1" applyAlignment="1">
      <alignment horizontal="center" vertical="center" wrapText="1"/>
    </xf>
    <xf numFmtId="0" fontId="0" fillId="0" borderId="0" xfId="0" applyFont="1" applyAlignment="1">
      <alignment horizontal="left" wrapText="1"/>
    </xf>
    <xf numFmtId="0" fontId="0" fillId="0" borderId="0" xfId="0" applyFont="1" applyAlignment="1">
      <alignment wrapText="1"/>
    </xf>
    <xf numFmtId="0" fontId="0" fillId="0" borderId="28" xfId="0" applyFont="1" applyBorder="1" applyAlignment="1">
      <alignment horizontal="left" wrapText="1"/>
    </xf>
    <xf numFmtId="0" fontId="0" fillId="0" borderId="1" xfId="0" applyBorder="1" applyAlignment="1">
      <alignment horizontal="center"/>
    </xf>
    <xf numFmtId="10" fontId="0" fillId="0" borderId="19" xfId="2" applyNumberFormat="1" applyFont="1" applyFill="1" applyBorder="1" applyAlignment="1">
      <alignment horizontal="center"/>
    </xf>
    <xf numFmtId="10" fontId="0" fillId="0" borderId="19" xfId="2" applyNumberFormat="1" applyFont="1" applyFill="1" applyBorder="1" applyAlignment="1">
      <alignment horizontal="center" vertical="center"/>
    </xf>
    <xf numFmtId="44" fontId="0" fillId="33" borderId="0" xfId="49" applyFont="1" applyFill="1" applyBorder="1" applyAlignment="1" applyProtection="1">
      <alignment horizontal="right"/>
    </xf>
    <xf numFmtId="170" fontId="0" fillId="33" borderId="0" xfId="47" applyNumberFormat="1" applyFont="1" applyFill="1" applyBorder="1" applyAlignment="1" applyProtection="1">
      <alignment horizontal="right"/>
    </xf>
    <xf numFmtId="170" fontId="1" fillId="0" borderId="1" xfId="47" applyNumberFormat="1" applyFont="1" applyFill="1" applyBorder="1" applyAlignment="1" applyProtection="1">
      <alignment horizontal="right"/>
    </xf>
    <xf numFmtId="0" fontId="34" fillId="0" borderId="0" xfId="0" applyFont="1" applyAlignment="1">
      <alignment vertical="center"/>
    </xf>
    <xf numFmtId="171" fontId="35" fillId="42" borderId="1" xfId="0" applyNumberFormat="1" applyFont="1" applyFill="1" applyBorder="1" applyAlignment="1">
      <alignment horizontal="center" vertical="center"/>
    </xf>
    <xf numFmtId="166" fontId="36" fillId="0" borderId="19" xfId="46" applyNumberFormat="1" applyFont="1" applyBorder="1" applyAlignment="1">
      <alignment horizontal="center" vertical="top" readingOrder="1"/>
    </xf>
    <xf numFmtId="166" fontId="37" fillId="0" borderId="19" xfId="46" applyNumberFormat="1" applyFont="1" applyBorder="1" applyAlignment="1">
      <alignment horizontal="center" vertical="center" readingOrder="1"/>
    </xf>
    <xf numFmtId="179" fontId="37" fillId="0" borderId="19" xfId="1" applyNumberFormat="1" applyFont="1" applyBorder="1" applyAlignment="1">
      <alignment horizontal="center" vertical="top" readingOrder="1"/>
    </xf>
    <xf numFmtId="166" fontId="36" fillId="0" borderId="19" xfId="46" applyNumberFormat="1" applyFont="1" applyFill="1" applyBorder="1" applyAlignment="1">
      <alignment horizontal="center" vertical="top" readingOrder="1"/>
    </xf>
    <xf numFmtId="166" fontId="24" fillId="0" borderId="19" xfId="46" applyNumberFormat="1" applyFont="1" applyFill="1" applyBorder="1" applyAlignment="1">
      <alignment horizontal="center" vertical="top" readingOrder="1"/>
    </xf>
  </cellXfs>
  <cellStyles count="52">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urrency" xfId="49"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8" builtinId="8"/>
    <cellStyle name="Input" xfId="11" builtinId="20" customBuiltin="1"/>
    <cellStyle name="Linked Cell" xfId="14" builtinId="24" customBuiltin="1"/>
    <cellStyle name="Neutral" xfId="10" builtinId="28" customBuiltin="1"/>
    <cellStyle name="Normal" xfId="0" builtinId="0"/>
    <cellStyle name="Normal 2" xfId="44" xr:uid="{00000000-0005-0000-0000-000028000000}"/>
    <cellStyle name="Normal 2 2" xfId="46" xr:uid="{00000000-0005-0000-0000-000029000000}"/>
    <cellStyle name="Normal 2 3" xfId="47" xr:uid="{00000000-0005-0000-0000-00002A000000}"/>
    <cellStyle name="Normal 2 3 2" xfId="50" xr:uid="{29E923A0-9E8A-49C4-9673-D9F552C71465}"/>
    <cellStyle name="Normal 3" xfId="45" xr:uid="{00000000-0005-0000-0000-00002B000000}"/>
    <cellStyle name="Normal 3 2" xfId="51" xr:uid="{00000000-0005-0000-0000-00002C00000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14">
    <dxf>
      <font>
        <color rgb="FF9C0006"/>
      </font>
    </dxf>
    <dxf>
      <font>
        <color theme="9" tint="-0.499984740745262"/>
      </font>
      <fill>
        <patternFill>
          <bgColor theme="9" tint="0.59996337778862885"/>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rgb="FF9C0006"/>
      </font>
    </dxf>
    <dxf>
      <font>
        <b/>
        <i val="0"/>
      </font>
    </dxf>
    <dxf>
      <font>
        <b/>
        <i val="0"/>
      </font>
    </dxf>
    <dxf>
      <font>
        <b/>
        <i val="0"/>
      </font>
    </dxf>
    <dxf>
      <font>
        <b/>
        <i val="0"/>
      </font>
    </dxf>
    <dxf>
      <font>
        <b/>
        <i val="0"/>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Benefits by</a:t>
            </a:r>
            <a:r>
              <a:rPr lang="en-US" baseline="0"/>
              <a:t> Type, 7% discount rate (in $millions)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FC6-446B-86B7-24DD1DFA662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FC6-446B-86B7-24DD1DFA662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FC6-446B-86B7-24DD1DFA662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FC6-446B-86B7-24DD1DFA662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FC6-446B-86B7-24DD1DFA662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FC6-446B-86B7-24DD1DFA6623}"/>
              </c:ext>
            </c:extLst>
          </c:dPt>
          <c:dLbls>
            <c:dLbl>
              <c:idx val="0"/>
              <c:layout>
                <c:manualLayout>
                  <c:x val="4.659117042433595E-2"/>
                  <c:y val="2.2867447423232001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FC6-446B-86B7-24DD1DFA66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'BCA Summary'!$A$3:$A$8</c:f>
              <c:strCache>
                <c:ptCount val="6"/>
                <c:pt idx="0">
                  <c:v>Vehicle Operating Costs</c:v>
                </c:pt>
                <c:pt idx="1">
                  <c:v>Business Time and Reliability Costs</c:v>
                </c:pt>
                <c:pt idx="2">
                  <c:v>Value of Personal Time and Reliability</c:v>
                </c:pt>
                <c:pt idx="3">
                  <c:v>Safety</c:v>
                </c:pt>
                <c:pt idx="4">
                  <c:v>Environmental: Non-CO2</c:v>
                </c:pt>
                <c:pt idx="5">
                  <c:v>Logistics/Freight Costs</c:v>
                </c:pt>
              </c:strCache>
            </c:strRef>
          </c:cat>
          <c:val>
            <c:numRef>
              <c:f>'BCA Summary'!$C$3:$C$8</c:f>
              <c:numCache>
                <c:formatCode>"$"#,##0.0</c:formatCode>
                <c:ptCount val="6"/>
                <c:pt idx="0">
                  <c:v>28.58160848412922</c:v>
                </c:pt>
                <c:pt idx="1">
                  <c:v>39.847984970157839</c:v>
                </c:pt>
                <c:pt idx="2">
                  <c:v>18.604438077600982</c:v>
                </c:pt>
                <c:pt idx="3">
                  <c:v>28.576271701615187</c:v>
                </c:pt>
                <c:pt idx="4">
                  <c:v>3.6703847994466026</c:v>
                </c:pt>
                <c:pt idx="5">
                  <c:v>146.95583475507092</c:v>
                </c:pt>
              </c:numCache>
            </c:numRef>
          </c:val>
          <c:extLst>
            <c:ext xmlns:c16="http://schemas.microsoft.com/office/drawing/2014/chart" uri="{C3380CC4-5D6E-409C-BE32-E72D297353CC}">
              <c16:uniqueId val="{00000000-7A7B-43D8-9708-3CE9061068C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Base O&amp;M + R</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'Project Costs'!$G$8:$G$34</c:f>
              <c:numCache>
                <c:formatCode>@</c:formatCode>
                <c:ptCount val="27"/>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numCache>
            </c:numRef>
          </c:xVal>
          <c:yVal>
            <c:numRef>
              <c:f>'Project Costs'!$O$8:$O$34</c:f>
              <c:numCache>
                <c:formatCode>"$"#,##0.00</c:formatCode>
                <c:ptCount val="27"/>
                <c:pt idx="0">
                  <c:v>4.2999999999999997E-2</c:v>
                </c:pt>
                <c:pt idx="1">
                  <c:v>4.2999999999999997E-2</c:v>
                </c:pt>
                <c:pt idx="2">
                  <c:v>4.2999999999999997E-2</c:v>
                </c:pt>
                <c:pt idx="3">
                  <c:v>4.2999999999999997E-2</c:v>
                </c:pt>
                <c:pt idx="4">
                  <c:v>0.69300000000000006</c:v>
                </c:pt>
                <c:pt idx="5">
                  <c:v>4.2999999999999997E-2</c:v>
                </c:pt>
                <c:pt idx="6">
                  <c:v>4.2999999999999997E-2</c:v>
                </c:pt>
                <c:pt idx="7">
                  <c:v>4.2999999999999997E-2</c:v>
                </c:pt>
                <c:pt idx="8">
                  <c:v>4.2999999999999997E-2</c:v>
                </c:pt>
                <c:pt idx="9">
                  <c:v>0.81800000000000006</c:v>
                </c:pt>
                <c:pt idx="10">
                  <c:v>4.2999999999999997E-2</c:v>
                </c:pt>
                <c:pt idx="11">
                  <c:v>4.2999999999999997E-2</c:v>
                </c:pt>
                <c:pt idx="12">
                  <c:v>4.2999999999999997E-2</c:v>
                </c:pt>
                <c:pt idx="13">
                  <c:v>4.2999999999999997E-2</c:v>
                </c:pt>
                <c:pt idx="14">
                  <c:v>0.69300000000000006</c:v>
                </c:pt>
                <c:pt idx="15">
                  <c:v>4.2999999999999997E-2</c:v>
                </c:pt>
                <c:pt idx="16">
                  <c:v>4.2999999999999997E-2</c:v>
                </c:pt>
                <c:pt idx="17">
                  <c:v>4.2999999999999997E-2</c:v>
                </c:pt>
                <c:pt idx="18">
                  <c:v>4.2999999999999997E-2</c:v>
                </c:pt>
                <c:pt idx="19">
                  <c:v>0.81800000000000006</c:v>
                </c:pt>
                <c:pt idx="20">
                  <c:v>4.2999999999999997E-2</c:v>
                </c:pt>
                <c:pt idx="21">
                  <c:v>4.2999999999999997E-2</c:v>
                </c:pt>
                <c:pt idx="22">
                  <c:v>4.2999999999999997E-2</c:v>
                </c:pt>
                <c:pt idx="23">
                  <c:v>4.2999999999999997E-2</c:v>
                </c:pt>
                <c:pt idx="24">
                  <c:v>0.69300000000000006</c:v>
                </c:pt>
                <c:pt idx="25">
                  <c:v>4.2999999999999997E-2</c:v>
                </c:pt>
                <c:pt idx="26">
                  <c:v>4.2999999999999997E-2</c:v>
                </c:pt>
              </c:numCache>
            </c:numRef>
          </c:yVal>
          <c:smooth val="0"/>
          <c:extLst>
            <c:ext xmlns:c16="http://schemas.microsoft.com/office/drawing/2014/chart" uri="{C3380CC4-5D6E-409C-BE32-E72D297353CC}">
              <c16:uniqueId val="{00000000-C345-4D2E-985C-2A116EC931A4}"/>
            </c:ext>
          </c:extLst>
        </c:ser>
        <c:ser>
          <c:idx val="1"/>
          <c:order val="1"/>
          <c:tx>
            <c:v>Project O&amp;M + R</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'Project Costs'!$G$40:$G$66</c:f>
              <c:numCache>
                <c:formatCode>@</c:formatCode>
                <c:ptCount val="27"/>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numCache>
            </c:numRef>
          </c:xVal>
          <c:yVal>
            <c:numRef>
              <c:f>'Project Costs'!$O$40:$O$66</c:f>
              <c:numCache>
                <c:formatCode>"$"#,##0.00</c:formatCode>
                <c:ptCount val="27"/>
                <c:pt idx="0">
                  <c:v>4.2999999999999997E-2</c:v>
                </c:pt>
                <c:pt idx="1">
                  <c:v>4.2999999999999997E-2</c:v>
                </c:pt>
                <c:pt idx="2">
                  <c:v>4.2999999999999997E-2</c:v>
                </c:pt>
                <c:pt idx="3">
                  <c:v>4.2999999999999997E-2</c:v>
                </c:pt>
                <c:pt idx="4">
                  <c:v>4.2999999999999997E-2</c:v>
                </c:pt>
                <c:pt idx="5">
                  <c:v>4.2999999999999997E-2</c:v>
                </c:pt>
                <c:pt idx="6">
                  <c:v>4.2999999999999997E-2</c:v>
                </c:pt>
                <c:pt idx="7">
                  <c:v>3.6999999999999998E-2</c:v>
                </c:pt>
                <c:pt idx="8">
                  <c:v>3.6999999999999998E-2</c:v>
                </c:pt>
                <c:pt idx="9">
                  <c:v>3.6999999999999998E-2</c:v>
                </c:pt>
                <c:pt idx="10">
                  <c:v>3.6999999999999998E-2</c:v>
                </c:pt>
                <c:pt idx="11">
                  <c:v>3.6999999999999998E-2</c:v>
                </c:pt>
                <c:pt idx="12">
                  <c:v>3.6999999999999998E-2</c:v>
                </c:pt>
                <c:pt idx="13">
                  <c:v>3.6999999999999998E-2</c:v>
                </c:pt>
                <c:pt idx="14">
                  <c:v>3.6999999999999998E-2</c:v>
                </c:pt>
                <c:pt idx="15">
                  <c:v>3.6999999999999998E-2</c:v>
                </c:pt>
                <c:pt idx="16">
                  <c:v>3.6999999999999998E-2</c:v>
                </c:pt>
                <c:pt idx="17">
                  <c:v>0.81200000000000006</c:v>
                </c:pt>
                <c:pt idx="18">
                  <c:v>0.68700000000000006</c:v>
                </c:pt>
                <c:pt idx="19">
                  <c:v>3.6999999999999998E-2</c:v>
                </c:pt>
                <c:pt idx="20">
                  <c:v>3.6999999999999998E-2</c:v>
                </c:pt>
                <c:pt idx="21">
                  <c:v>3.6999999999999998E-2</c:v>
                </c:pt>
                <c:pt idx="22">
                  <c:v>3.6999999999999998E-2</c:v>
                </c:pt>
                <c:pt idx="23">
                  <c:v>3.6999999999999998E-2</c:v>
                </c:pt>
                <c:pt idx="24">
                  <c:v>3.6999999999999998E-2</c:v>
                </c:pt>
                <c:pt idx="25">
                  <c:v>3.6999999999999998E-2</c:v>
                </c:pt>
                <c:pt idx="26">
                  <c:v>3.6999999999999998E-2</c:v>
                </c:pt>
              </c:numCache>
            </c:numRef>
          </c:yVal>
          <c:smooth val="0"/>
          <c:extLst>
            <c:ext xmlns:c16="http://schemas.microsoft.com/office/drawing/2014/chart" uri="{C3380CC4-5D6E-409C-BE32-E72D297353CC}">
              <c16:uniqueId val="{00000001-C345-4D2E-985C-2A116EC931A4}"/>
            </c:ext>
          </c:extLst>
        </c:ser>
        <c:dLbls>
          <c:showLegendKey val="0"/>
          <c:showVal val="0"/>
          <c:showCatName val="0"/>
          <c:showSerName val="0"/>
          <c:showPercent val="0"/>
          <c:showBubbleSize val="0"/>
        </c:dLbls>
        <c:axId val="348301808"/>
        <c:axId val="348302136"/>
      </c:scatterChart>
      <c:valAx>
        <c:axId val="348301808"/>
        <c:scaling>
          <c:orientation val="minMax"/>
        </c:scaling>
        <c:delete val="0"/>
        <c:axPos val="b"/>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8302136"/>
        <c:crosses val="autoZero"/>
        <c:crossBetween val="midCat"/>
      </c:valAx>
      <c:valAx>
        <c:axId val="3483021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830180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Base Capital</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'Project Costs'!$G$8:$G$34</c:f>
              <c:numCache>
                <c:formatCode>@</c:formatCode>
                <c:ptCount val="27"/>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numCache>
            </c:numRef>
          </c:xVal>
          <c:yVal>
            <c:numRef>
              <c:f>'Project Costs'!$L$8:$L$34</c:f>
              <c:numCache>
                <c:formatCode>"$"#,##0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yVal>
          <c:smooth val="0"/>
          <c:extLst>
            <c:ext xmlns:c16="http://schemas.microsoft.com/office/drawing/2014/chart" uri="{C3380CC4-5D6E-409C-BE32-E72D297353CC}">
              <c16:uniqueId val="{00000000-A1AA-4D66-9613-80F30765A3D2}"/>
            </c:ext>
          </c:extLst>
        </c:ser>
        <c:ser>
          <c:idx val="1"/>
          <c:order val="1"/>
          <c:tx>
            <c:v>Project Capital</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'Project Costs'!$G$40:$G$66</c:f>
              <c:numCache>
                <c:formatCode>@</c:formatCode>
                <c:ptCount val="27"/>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numCache>
            </c:numRef>
          </c:xVal>
          <c:yVal>
            <c:numRef>
              <c:f>'Project Costs'!$L$40:$L$66</c:f>
              <c:numCache>
                <c:formatCode>"$"#,##0.00</c:formatCode>
                <c:ptCount val="27"/>
                <c:pt idx="0">
                  <c:v>0.3</c:v>
                </c:pt>
                <c:pt idx="1">
                  <c:v>0.36</c:v>
                </c:pt>
                <c:pt idx="2">
                  <c:v>13.48</c:v>
                </c:pt>
                <c:pt idx="3">
                  <c:v>19.25</c:v>
                </c:pt>
                <c:pt idx="4">
                  <c:v>9.620000000000001</c:v>
                </c:pt>
                <c:pt idx="5">
                  <c:v>4.8100000000000005</c:v>
                </c:pt>
                <c:pt idx="6">
                  <c:v>2.41</c:v>
                </c:pt>
                <c:pt idx="7" formatCode="&quot;$&quot;#,##0">
                  <c:v>0</c:v>
                </c:pt>
                <c:pt idx="8" formatCode="&quot;$&quot;#,##0">
                  <c:v>0</c:v>
                </c:pt>
                <c:pt idx="9" formatCode="&quot;$&quot;#,##0">
                  <c:v>0</c:v>
                </c:pt>
                <c:pt idx="10" formatCode="&quot;$&quot;#,##0">
                  <c:v>0</c:v>
                </c:pt>
                <c:pt idx="11" formatCode="&quot;$&quot;#,##0">
                  <c:v>0</c:v>
                </c:pt>
                <c:pt idx="12" formatCode="&quot;$&quot;#,##0">
                  <c:v>0</c:v>
                </c:pt>
                <c:pt idx="13" formatCode="&quot;$&quot;#,##0">
                  <c:v>0</c:v>
                </c:pt>
                <c:pt idx="14" formatCode="&quot;$&quot;#,##0">
                  <c:v>0</c:v>
                </c:pt>
                <c:pt idx="15" formatCode="&quot;$&quot;#,##0">
                  <c:v>0</c:v>
                </c:pt>
                <c:pt idx="16" formatCode="&quot;$&quot;#,##0">
                  <c:v>0</c:v>
                </c:pt>
                <c:pt idx="17" formatCode="&quot;$&quot;#,##0">
                  <c:v>0</c:v>
                </c:pt>
                <c:pt idx="18" formatCode="&quot;$&quot;#,##0">
                  <c:v>0</c:v>
                </c:pt>
                <c:pt idx="19" formatCode="&quot;$&quot;#,##0">
                  <c:v>0</c:v>
                </c:pt>
                <c:pt idx="20" formatCode="&quot;$&quot;#,##0">
                  <c:v>0</c:v>
                </c:pt>
                <c:pt idx="21" formatCode="&quot;$&quot;#,##0">
                  <c:v>0</c:v>
                </c:pt>
                <c:pt idx="22" formatCode="&quot;$&quot;#,##0">
                  <c:v>0</c:v>
                </c:pt>
                <c:pt idx="23" formatCode="&quot;$&quot;#,##0">
                  <c:v>0</c:v>
                </c:pt>
                <c:pt idx="24" formatCode="&quot;$&quot;#,##0">
                  <c:v>0</c:v>
                </c:pt>
                <c:pt idx="25" formatCode="&quot;$&quot;#,##0">
                  <c:v>0</c:v>
                </c:pt>
                <c:pt idx="26" formatCode="&quot;$&quot;#,##0">
                  <c:v>0</c:v>
                </c:pt>
              </c:numCache>
            </c:numRef>
          </c:yVal>
          <c:smooth val="0"/>
          <c:extLst>
            <c:ext xmlns:c16="http://schemas.microsoft.com/office/drawing/2014/chart" uri="{C3380CC4-5D6E-409C-BE32-E72D297353CC}">
              <c16:uniqueId val="{00000001-A1AA-4D66-9613-80F30765A3D2}"/>
            </c:ext>
          </c:extLst>
        </c:ser>
        <c:dLbls>
          <c:showLegendKey val="0"/>
          <c:showVal val="0"/>
          <c:showCatName val="0"/>
          <c:showSerName val="0"/>
          <c:showPercent val="0"/>
          <c:showBubbleSize val="0"/>
        </c:dLbls>
        <c:axId val="348301808"/>
        <c:axId val="348302136"/>
      </c:scatterChart>
      <c:valAx>
        <c:axId val="348301808"/>
        <c:scaling>
          <c:orientation val="minMax"/>
        </c:scaling>
        <c:delete val="0"/>
        <c:axPos val="b"/>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8302136"/>
        <c:crosses val="autoZero"/>
        <c:crossBetween val="midCat"/>
      </c:valAx>
      <c:valAx>
        <c:axId val="3483021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830180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604202</xdr:colOff>
      <xdr:row>2</xdr:row>
      <xdr:rowOff>12039</xdr:rowOff>
    </xdr:from>
    <xdr:to>
      <xdr:col>13</xdr:col>
      <xdr:colOff>145676</xdr:colOff>
      <xdr:row>16</xdr:row>
      <xdr:rowOff>133785</xdr:rowOff>
    </xdr:to>
    <xdr:graphicFrame macro="">
      <xdr:nvGraphicFramePr>
        <xdr:cNvPr id="2" name="Chart 1">
          <a:extLst>
            <a:ext uri="{FF2B5EF4-FFF2-40B4-BE49-F238E27FC236}">
              <a16:creationId xmlns:a16="http://schemas.microsoft.com/office/drawing/2014/main" id="{4FD0692E-6DA6-4F79-8141-71818F78BD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20</xdr:col>
      <xdr:colOff>633132</xdr:colOff>
      <xdr:row>8</xdr:row>
      <xdr:rowOff>57149</xdr:rowOff>
    </xdr:from>
    <xdr:to>
      <xdr:col>27</xdr:col>
      <xdr:colOff>773205</xdr:colOff>
      <xdr:row>17</xdr:row>
      <xdr:rowOff>33619</xdr:rowOff>
    </xdr:to>
    <xdr:graphicFrame macro="">
      <xdr:nvGraphicFramePr>
        <xdr:cNvPr id="2" name="Chart 1">
          <a:extLst>
            <a:ext uri="{FF2B5EF4-FFF2-40B4-BE49-F238E27FC236}">
              <a16:creationId xmlns:a16="http://schemas.microsoft.com/office/drawing/2014/main" id="{C0CA4A30-92FB-46E2-B5EA-0D11A4E74A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616324</xdr:colOff>
      <xdr:row>18</xdr:row>
      <xdr:rowOff>123265</xdr:rowOff>
    </xdr:from>
    <xdr:to>
      <xdr:col>27</xdr:col>
      <xdr:colOff>756397</xdr:colOff>
      <xdr:row>27</xdr:row>
      <xdr:rowOff>99734</xdr:rowOff>
    </xdr:to>
    <xdr:graphicFrame macro="">
      <xdr:nvGraphicFramePr>
        <xdr:cNvPr id="3" name="Chart 2">
          <a:extLst>
            <a:ext uri="{FF2B5EF4-FFF2-40B4-BE49-F238E27FC236}">
              <a16:creationId xmlns:a16="http://schemas.microsoft.com/office/drawing/2014/main" id="{43D7B5A2-8167-4146-8F91-77094C665F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1330938</xdr:colOff>
      <xdr:row>0</xdr:row>
      <xdr:rowOff>173691</xdr:rowOff>
    </xdr:from>
    <xdr:to>
      <xdr:col>7</xdr:col>
      <xdr:colOff>554490</xdr:colOff>
      <xdr:row>0</xdr:row>
      <xdr:rowOff>173691</xdr:rowOff>
    </xdr:to>
    <xdr:cxnSp macro="">
      <xdr:nvCxnSpPr>
        <xdr:cNvPr id="2" name="Straight Arrow Connector 1">
          <a:extLst>
            <a:ext uri="{FF2B5EF4-FFF2-40B4-BE49-F238E27FC236}">
              <a16:creationId xmlns:a16="http://schemas.microsoft.com/office/drawing/2014/main" id="{4FB5D5DF-C81B-47FC-8FB3-EE28502AF052}"/>
            </a:ext>
          </a:extLst>
        </xdr:cNvPr>
        <xdr:cNvCxnSpPr/>
      </xdr:nvCxnSpPr>
      <xdr:spPr>
        <a:xfrm>
          <a:off x="7217388" y="173691"/>
          <a:ext cx="861852" cy="0"/>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1</xdr:row>
      <xdr:rowOff>0</xdr:rowOff>
    </xdr:from>
    <xdr:to>
      <xdr:col>17</xdr:col>
      <xdr:colOff>244088</xdr:colOff>
      <xdr:row>1</xdr:row>
      <xdr:rowOff>0</xdr:rowOff>
    </xdr:to>
    <xdr:cxnSp macro="">
      <xdr:nvCxnSpPr>
        <xdr:cNvPr id="3" name="Straight Arrow Connector 2">
          <a:extLst>
            <a:ext uri="{FF2B5EF4-FFF2-40B4-BE49-F238E27FC236}">
              <a16:creationId xmlns:a16="http://schemas.microsoft.com/office/drawing/2014/main" id="{1CEFDD0C-CFB3-4F89-9EE1-49A8DBB82668}"/>
            </a:ext>
          </a:extLst>
        </xdr:cNvPr>
        <xdr:cNvCxnSpPr/>
      </xdr:nvCxnSpPr>
      <xdr:spPr>
        <a:xfrm>
          <a:off x="14639925" y="190500"/>
          <a:ext cx="853688" cy="0"/>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40821</xdr:colOff>
      <xdr:row>2</xdr:row>
      <xdr:rowOff>54429</xdr:rowOff>
    </xdr:from>
    <xdr:to>
      <xdr:col>13</xdr:col>
      <xdr:colOff>240846</xdr:colOff>
      <xdr:row>11</xdr:row>
      <xdr:rowOff>16329</xdr:rowOff>
    </xdr:to>
    <xdr:pic>
      <xdr:nvPicPr>
        <xdr:cNvPr id="2" name="Picture 1">
          <a:extLst>
            <a:ext uri="{FF2B5EF4-FFF2-40B4-BE49-F238E27FC236}">
              <a16:creationId xmlns:a16="http://schemas.microsoft.com/office/drawing/2014/main" id="{148C9FA2-3989-4D8A-8379-1A733086A5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72107" y="517072"/>
          <a:ext cx="4840060" cy="320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68036</xdr:colOff>
      <xdr:row>2</xdr:row>
      <xdr:rowOff>81643</xdr:rowOff>
    </xdr:from>
    <xdr:to>
      <xdr:col>23</xdr:col>
      <xdr:colOff>46264</xdr:colOff>
      <xdr:row>7</xdr:row>
      <xdr:rowOff>338818</xdr:rowOff>
    </xdr:to>
    <xdr:pic>
      <xdr:nvPicPr>
        <xdr:cNvPr id="3" name="Picture 2">
          <a:extLst>
            <a:ext uri="{FF2B5EF4-FFF2-40B4-BE49-F238E27FC236}">
              <a16:creationId xmlns:a16="http://schemas.microsoft.com/office/drawing/2014/main" id="{694923F6-FA2B-419E-816A-F31C169464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0" y="544286"/>
          <a:ext cx="4876800" cy="216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18</xdr:row>
      <xdr:rowOff>0</xdr:rowOff>
    </xdr:from>
    <xdr:to>
      <xdr:col>14</xdr:col>
      <xdr:colOff>195262</xdr:colOff>
      <xdr:row>34</xdr:row>
      <xdr:rowOff>104238</xdr:rowOff>
    </xdr:to>
    <xdr:pic>
      <xdr:nvPicPr>
        <xdr:cNvPr id="6" name="Picture 5">
          <a:extLst>
            <a:ext uri="{FF2B5EF4-FFF2-40B4-BE49-F238E27FC236}">
              <a16:creationId xmlns:a16="http://schemas.microsoft.com/office/drawing/2014/main" id="{00B2465C-BA7E-4A9B-9AE2-9C52006F2C67}"/>
            </a:ext>
          </a:extLst>
        </xdr:cNvPr>
        <xdr:cNvPicPr>
          <a:picLocks noChangeAspect="1"/>
        </xdr:cNvPicPr>
      </xdr:nvPicPr>
      <xdr:blipFill>
        <a:blip xmlns:r="http://schemas.openxmlformats.org/officeDocument/2006/relationships" r:embed="rId3"/>
        <a:stretch>
          <a:fillRect/>
        </a:stretch>
      </xdr:blipFill>
      <xdr:spPr>
        <a:xfrm>
          <a:off x="10831286" y="5116286"/>
          <a:ext cx="5447619" cy="42952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1330938</xdr:colOff>
      <xdr:row>0</xdr:row>
      <xdr:rowOff>173691</xdr:rowOff>
    </xdr:from>
    <xdr:to>
      <xdr:col>7</xdr:col>
      <xdr:colOff>554490</xdr:colOff>
      <xdr:row>0</xdr:row>
      <xdr:rowOff>173691</xdr:rowOff>
    </xdr:to>
    <xdr:cxnSp macro="">
      <xdr:nvCxnSpPr>
        <xdr:cNvPr id="2" name="Straight Arrow Connector 1">
          <a:extLst>
            <a:ext uri="{FF2B5EF4-FFF2-40B4-BE49-F238E27FC236}">
              <a16:creationId xmlns:a16="http://schemas.microsoft.com/office/drawing/2014/main" id="{97715B3D-411A-4057-A7D6-DBFB45B04BB3}"/>
            </a:ext>
          </a:extLst>
        </xdr:cNvPr>
        <xdr:cNvCxnSpPr/>
      </xdr:nvCxnSpPr>
      <xdr:spPr>
        <a:xfrm>
          <a:off x="5207613" y="173691"/>
          <a:ext cx="557052" cy="0"/>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1</xdr:row>
      <xdr:rowOff>0</xdr:rowOff>
    </xdr:from>
    <xdr:to>
      <xdr:col>17</xdr:col>
      <xdr:colOff>244088</xdr:colOff>
      <xdr:row>1</xdr:row>
      <xdr:rowOff>0</xdr:rowOff>
    </xdr:to>
    <xdr:cxnSp macro="">
      <xdr:nvCxnSpPr>
        <xdr:cNvPr id="3" name="Straight Arrow Connector 2">
          <a:extLst>
            <a:ext uri="{FF2B5EF4-FFF2-40B4-BE49-F238E27FC236}">
              <a16:creationId xmlns:a16="http://schemas.microsoft.com/office/drawing/2014/main" id="{DC67C69D-38A2-4750-8D86-69FC40A73C61}"/>
            </a:ext>
          </a:extLst>
        </xdr:cNvPr>
        <xdr:cNvCxnSpPr/>
      </xdr:nvCxnSpPr>
      <xdr:spPr>
        <a:xfrm>
          <a:off x="10210800" y="190500"/>
          <a:ext cx="853688" cy="0"/>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S/CT%20DOT%20COB%20FASTLANE%20-%20662/CHOAK_BCA_Appendix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y&amp;ToC"/>
      <sheetName val="Project Matrix"/>
      <sheetName val="BC Summary"/>
      <sheetName val="Cost"/>
      <sheetName val="Ben_1"/>
      <sheetName val="Ben_2"/>
      <sheetName val="Ben_3"/>
      <sheetName val="T_1"/>
      <sheetName val="T_2"/>
      <sheetName val="T_3"/>
    </sheetNames>
    <sheetDataSet>
      <sheetData sheetId="0"/>
      <sheetData sheetId="1"/>
      <sheetData sheetId="2">
        <row r="6">
          <cell r="D6">
            <v>2015</v>
          </cell>
        </row>
      </sheetData>
      <sheetData sheetId="3"/>
      <sheetData sheetId="4">
        <row r="70">
          <cell r="C70">
            <v>-3910</v>
          </cell>
        </row>
      </sheetData>
      <sheetData sheetId="5">
        <row r="5">
          <cell r="B5">
            <v>0.66</v>
          </cell>
        </row>
        <row r="9">
          <cell r="C9">
            <v>68.333333333333329</v>
          </cell>
          <cell r="D9">
            <v>131</v>
          </cell>
        </row>
      </sheetData>
      <sheetData sheetId="6"/>
      <sheetData sheetId="7">
        <row r="14">
          <cell r="E14">
            <v>0.9613470894618743</v>
          </cell>
        </row>
      </sheetData>
      <sheetData sheetId="8"/>
      <sheetData sheetId="9">
        <row r="5">
          <cell r="B5">
            <v>365</v>
          </cell>
        </row>
        <row r="8">
          <cell r="B8">
            <v>8.9999999999999993E-3</v>
          </cell>
        </row>
        <row r="9">
          <cell r="B9">
            <v>57525.648823999974</v>
          </cell>
        </row>
        <row r="10">
          <cell r="B10">
            <v>39035.261701999982</v>
          </cell>
        </row>
        <row r="11">
          <cell r="B11">
            <v>55</v>
          </cell>
        </row>
        <row r="12">
          <cell r="B12">
            <v>0.25</v>
          </cell>
        </row>
        <row r="13">
          <cell r="B13">
            <v>45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cmfclearinghouse.org/detail.cfm?facid=3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s://gasprices.aaa.com/?state=KY" TargetMode="External"/><Relationship Id="rId2" Type="http://schemas.openxmlformats.org/officeDocument/2006/relationships/hyperlink" Target="https://gasprices.aaa.com/?state=KY" TargetMode="External"/><Relationship Id="rId1" Type="http://schemas.openxmlformats.org/officeDocument/2006/relationships/hyperlink" Target="https://www.transportation.gov/sites/dot.gov/files/docs/mission/office-policy/transportation-policy/284031/benefit-cost-analysis-guidance-2018_0.pdf" TargetMode="Externa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E589-E16E-4ABB-A7E1-B06EE5715ADC}">
  <dimension ref="A1:C28"/>
  <sheetViews>
    <sheetView tabSelected="1" topLeftCell="A25" zoomScaleNormal="100" workbookViewId="0">
      <selection activeCell="B8" sqref="B8"/>
    </sheetView>
  </sheetViews>
  <sheetFormatPr defaultRowHeight="15" x14ac:dyDescent="0.25"/>
  <cols>
    <col min="1" max="1" width="30.28515625" style="286" customWidth="1"/>
    <col min="2" max="2" width="13.5703125" style="286" customWidth="1"/>
    <col min="3" max="3" width="115.140625" style="286" customWidth="1"/>
    <col min="4" max="16384" width="9.140625" style="286"/>
  </cols>
  <sheetData>
    <row r="1" spans="1:3" x14ac:dyDescent="0.25">
      <c r="A1" s="342" t="s">
        <v>302</v>
      </c>
      <c r="B1" s="342"/>
      <c r="C1" s="342"/>
    </row>
    <row r="2" spans="1:3" x14ac:dyDescent="0.25">
      <c r="A2" s="301" t="s">
        <v>309</v>
      </c>
    </row>
    <row r="4" spans="1:3" ht="15.75" thickBot="1" x14ac:dyDescent="0.3">
      <c r="A4" s="286" t="s">
        <v>303</v>
      </c>
    </row>
    <row r="5" spans="1:3" s="187" customFormat="1" x14ac:dyDescent="0.25">
      <c r="A5" s="305" t="s">
        <v>304</v>
      </c>
      <c r="B5" s="306" t="s">
        <v>305</v>
      </c>
      <c r="C5" s="307" t="s">
        <v>307</v>
      </c>
    </row>
    <row r="6" spans="1:3" s="187" customFormat="1" x14ac:dyDescent="0.25">
      <c r="A6" s="343" t="s">
        <v>316</v>
      </c>
      <c r="B6" s="343"/>
      <c r="C6" s="343"/>
    </row>
    <row r="7" spans="1:3" s="187" customFormat="1" ht="30" x14ac:dyDescent="0.25">
      <c r="A7" s="319" t="s">
        <v>306</v>
      </c>
      <c r="B7" s="303" t="s">
        <v>209</v>
      </c>
      <c r="C7" s="303" t="s">
        <v>308</v>
      </c>
    </row>
    <row r="8" spans="1:3" s="187" customFormat="1" ht="30" x14ac:dyDescent="0.25">
      <c r="A8" s="304" t="s">
        <v>310</v>
      </c>
      <c r="B8" s="189" t="s">
        <v>311</v>
      </c>
      <c r="C8" s="321" t="s">
        <v>312</v>
      </c>
    </row>
    <row r="9" spans="1:3" ht="30" x14ac:dyDescent="0.25">
      <c r="A9" s="302" t="s">
        <v>313</v>
      </c>
      <c r="B9" s="189" t="s">
        <v>209</v>
      </c>
      <c r="C9" s="189" t="s">
        <v>324</v>
      </c>
    </row>
    <row r="10" spans="1:3" ht="45" x14ac:dyDescent="0.25">
      <c r="A10" s="304" t="s">
        <v>80</v>
      </c>
      <c r="B10" s="189" t="s">
        <v>311</v>
      </c>
      <c r="C10" s="189" t="s">
        <v>344</v>
      </c>
    </row>
    <row r="11" spans="1:3" x14ac:dyDescent="0.25">
      <c r="A11" s="343" t="s">
        <v>343</v>
      </c>
      <c r="B11" s="343"/>
      <c r="C11" s="343"/>
    </row>
    <row r="12" spans="1:3" ht="60" x14ac:dyDescent="0.25">
      <c r="A12" s="304" t="s">
        <v>321</v>
      </c>
      <c r="B12" s="189" t="s">
        <v>311</v>
      </c>
      <c r="C12" s="189" t="s">
        <v>326</v>
      </c>
    </row>
    <row r="13" spans="1:3" ht="75" x14ac:dyDescent="0.25">
      <c r="A13" s="304" t="s">
        <v>317</v>
      </c>
      <c r="B13" s="189" t="s">
        <v>311</v>
      </c>
      <c r="C13" s="189" t="s">
        <v>345</v>
      </c>
    </row>
    <row r="14" spans="1:3" ht="30" x14ac:dyDescent="0.25">
      <c r="A14" s="304" t="s">
        <v>318</v>
      </c>
      <c r="B14" s="189" t="s">
        <v>311</v>
      </c>
      <c r="C14" s="189" t="s">
        <v>323</v>
      </c>
    </row>
    <row r="15" spans="1:3" ht="75" x14ac:dyDescent="0.25">
      <c r="A15" s="304" t="s">
        <v>319</v>
      </c>
      <c r="B15" s="189" t="s">
        <v>311</v>
      </c>
      <c r="C15" s="189" t="s">
        <v>365</v>
      </c>
    </row>
    <row r="16" spans="1:3" ht="30" x14ac:dyDescent="0.25">
      <c r="A16" s="320" t="s">
        <v>320</v>
      </c>
      <c r="B16" s="187" t="s">
        <v>209</v>
      </c>
      <c r="C16" s="189" t="s">
        <v>327</v>
      </c>
    </row>
    <row r="17" spans="1:3" ht="30" x14ac:dyDescent="0.25">
      <c r="A17" s="320" t="s">
        <v>314</v>
      </c>
      <c r="B17" s="189" t="s">
        <v>209</v>
      </c>
      <c r="C17" s="189" t="s">
        <v>315</v>
      </c>
    </row>
    <row r="18" spans="1:3" x14ac:dyDescent="0.25">
      <c r="A18" s="343" t="s">
        <v>372</v>
      </c>
      <c r="B18" s="343"/>
      <c r="C18" s="343"/>
    </row>
    <row r="19" spans="1:3" ht="45" x14ac:dyDescent="0.25">
      <c r="A19" s="304" t="s">
        <v>328</v>
      </c>
      <c r="B19" s="189" t="s">
        <v>311</v>
      </c>
      <c r="C19" s="189" t="s">
        <v>332</v>
      </c>
    </row>
    <row r="20" spans="1:3" ht="30" x14ac:dyDescent="0.25">
      <c r="A20" s="304" t="s">
        <v>329</v>
      </c>
      <c r="B20" s="189" t="s">
        <v>311</v>
      </c>
      <c r="C20" s="189" t="s">
        <v>333</v>
      </c>
    </row>
    <row r="21" spans="1:3" ht="30" x14ac:dyDescent="0.25">
      <c r="A21" s="302" t="s">
        <v>330</v>
      </c>
      <c r="B21" s="189" t="s">
        <v>209</v>
      </c>
      <c r="C21" s="189" t="s">
        <v>334</v>
      </c>
    </row>
    <row r="22" spans="1:3" ht="30" x14ac:dyDescent="0.25">
      <c r="A22" s="302" t="s">
        <v>331</v>
      </c>
      <c r="B22" s="189" t="s">
        <v>209</v>
      </c>
      <c r="C22" s="189" t="s">
        <v>335</v>
      </c>
    </row>
    <row r="23" spans="1:3" x14ac:dyDescent="0.25">
      <c r="A23" s="343" t="s">
        <v>363</v>
      </c>
      <c r="B23" s="343"/>
      <c r="C23" s="343"/>
    </row>
    <row r="24" spans="1:3" ht="90" x14ac:dyDescent="0.25">
      <c r="A24" s="304" t="s">
        <v>336</v>
      </c>
      <c r="B24" s="189" t="s">
        <v>311</v>
      </c>
      <c r="C24" s="328" t="s">
        <v>364</v>
      </c>
    </row>
    <row r="25" spans="1:3" ht="45" x14ac:dyDescent="0.25">
      <c r="A25" s="304" t="s">
        <v>337</v>
      </c>
      <c r="B25" s="189" t="s">
        <v>311</v>
      </c>
      <c r="C25" s="328" t="s">
        <v>347</v>
      </c>
    </row>
    <row r="26" spans="1:3" ht="90" x14ac:dyDescent="0.25">
      <c r="A26" s="304" t="s">
        <v>338</v>
      </c>
      <c r="B26" s="189" t="s">
        <v>311</v>
      </c>
      <c r="C26" s="189" t="s">
        <v>366</v>
      </c>
    </row>
    <row r="27" spans="1:3" ht="30" x14ac:dyDescent="0.25">
      <c r="A27" s="302" t="s">
        <v>339</v>
      </c>
      <c r="B27" s="189" t="s">
        <v>209</v>
      </c>
      <c r="C27" s="330" t="s">
        <v>341</v>
      </c>
    </row>
    <row r="28" spans="1:3" ht="30" x14ac:dyDescent="0.25">
      <c r="A28" s="302" t="s">
        <v>340</v>
      </c>
      <c r="B28" s="189" t="s">
        <v>209</v>
      </c>
      <c r="C28" s="328" t="s">
        <v>342</v>
      </c>
    </row>
  </sheetData>
  <mergeCells count="5">
    <mergeCell ref="A1:C1"/>
    <mergeCell ref="A6:C6"/>
    <mergeCell ref="A11:C11"/>
    <mergeCell ref="A18:C18"/>
    <mergeCell ref="A23:C2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G138"/>
  <sheetViews>
    <sheetView zoomScale="90" zoomScaleNormal="90" workbookViewId="0">
      <pane xSplit="1" ySplit="4" topLeftCell="C12" activePane="bottomRight" state="frozen"/>
      <selection activeCell="G14" sqref="G14"/>
      <selection pane="topRight" activeCell="G14" sqref="G14"/>
      <selection pane="bottomLeft" activeCell="G14" sqref="G14"/>
      <selection pane="bottomRight" activeCell="O31" sqref="O31"/>
    </sheetView>
  </sheetViews>
  <sheetFormatPr defaultColWidth="15.28515625" defaultRowHeight="15" x14ac:dyDescent="0.25"/>
  <cols>
    <col min="1" max="1" width="12.42578125" style="54" customWidth="1"/>
    <col min="2" max="13" width="16.140625" style="54" customWidth="1"/>
    <col min="14" max="14" width="17.7109375" style="54" customWidth="1"/>
    <col min="15" max="15" width="19.28515625" style="54" customWidth="1"/>
    <col min="16" max="27" width="16.140625" style="54" customWidth="1"/>
    <col min="28" max="16384" width="15.28515625" style="54"/>
  </cols>
  <sheetData>
    <row r="1" spans="1:33" ht="15.75" customHeight="1" x14ac:dyDescent="0.25">
      <c r="A1" s="374" t="s">
        <v>78</v>
      </c>
      <c r="B1" s="113"/>
    </row>
    <row r="2" spans="1:33" x14ac:dyDescent="0.25">
      <c r="A2" s="374"/>
      <c r="B2" s="376" t="s">
        <v>3</v>
      </c>
      <c r="C2" s="376"/>
      <c r="D2" s="376"/>
      <c r="E2" s="372" t="s">
        <v>4</v>
      </c>
      <c r="F2" s="372"/>
      <c r="G2" s="372"/>
      <c r="H2" s="372" t="s">
        <v>3</v>
      </c>
      <c r="I2" s="372"/>
      <c r="J2" s="372"/>
      <c r="K2" s="372" t="s">
        <v>4</v>
      </c>
      <c r="L2" s="372"/>
      <c r="M2" s="372"/>
      <c r="N2" s="155" t="s">
        <v>3</v>
      </c>
      <c r="O2" s="155" t="s">
        <v>4</v>
      </c>
      <c r="P2" s="372" t="s">
        <v>3</v>
      </c>
      <c r="Q2" s="372"/>
      <c r="R2" s="372"/>
      <c r="S2" s="372" t="s">
        <v>4</v>
      </c>
      <c r="T2" s="372"/>
      <c r="U2" s="372"/>
      <c r="V2" s="372" t="s">
        <v>3</v>
      </c>
      <c r="W2" s="372"/>
      <c r="X2" s="372"/>
      <c r="Y2" s="372" t="s">
        <v>4</v>
      </c>
      <c r="Z2" s="372"/>
      <c r="AA2" s="372"/>
      <c r="AB2" s="372" t="s">
        <v>3</v>
      </c>
      <c r="AC2" s="372"/>
      <c r="AD2" s="372"/>
      <c r="AE2" s="372" t="s">
        <v>4</v>
      </c>
      <c r="AF2" s="372"/>
      <c r="AG2" s="372"/>
    </row>
    <row r="3" spans="1:33" ht="15" customHeight="1" x14ac:dyDescent="0.25">
      <c r="A3" s="375"/>
      <c r="B3" s="373" t="s">
        <v>93</v>
      </c>
      <c r="C3" s="373"/>
      <c r="D3" s="373"/>
      <c r="E3" s="373" t="s">
        <v>93</v>
      </c>
      <c r="F3" s="373"/>
      <c r="G3" s="373"/>
      <c r="H3" s="373" t="s">
        <v>94</v>
      </c>
      <c r="I3" s="373"/>
      <c r="J3" s="373"/>
      <c r="K3" s="373" t="s">
        <v>94</v>
      </c>
      <c r="L3" s="373"/>
      <c r="M3" s="373"/>
      <c r="N3" s="156" t="s">
        <v>193</v>
      </c>
      <c r="O3" s="156" t="s">
        <v>193</v>
      </c>
      <c r="P3" s="373" t="s">
        <v>40</v>
      </c>
      <c r="Q3" s="373"/>
      <c r="R3" s="373"/>
      <c r="S3" s="373" t="s">
        <v>40</v>
      </c>
      <c r="T3" s="373"/>
      <c r="U3" s="373"/>
      <c r="V3" s="373" t="s">
        <v>46</v>
      </c>
      <c r="W3" s="373"/>
      <c r="X3" s="373"/>
      <c r="Y3" s="373" t="s">
        <v>46</v>
      </c>
      <c r="Z3" s="373"/>
      <c r="AA3" s="373"/>
      <c r="AB3" s="373" t="s">
        <v>108</v>
      </c>
      <c r="AC3" s="373"/>
      <c r="AD3" s="373"/>
      <c r="AE3" s="373" t="s">
        <v>108</v>
      </c>
      <c r="AF3" s="373"/>
      <c r="AG3" s="373"/>
    </row>
    <row r="4" spans="1:33" s="81" customFormat="1" ht="30" x14ac:dyDescent="0.25">
      <c r="A4" s="114" t="s">
        <v>0</v>
      </c>
      <c r="B4" s="99" t="s">
        <v>20</v>
      </c>
      <c r="C4" s="99" t="s">
        <v>21</v>
      </c>
      <c r="D4" s="99" t="s">
        <v>1</v>
      </c>
      <c r="E4" s="101" t="s">
        <v>20</v>
      </c>
      <c r="F4" s="101" t="s">
        <v>21</v>
      </c>
      <c r="G4" s="101" t="s">
        <v>1</v>
      </c>
      <c r="H4" s="101" t="s">
        <v>20</v>
      </c>
      <c r="I4" s="101" t="s">
        <v>21</v>
      </c>
      <c r="J4" s="101" t="s">
        <v>1</v>
      </c>
      <c r="K4" s="101" t="s">
        <v>20</v>
      </c>
      <c r="L4" s="101" t="s">
        <v>21</v>
      </c>
      <c r="M4" s="101" t="s">
        <v>1</v>
      </c>
      <c r="N4" s="101" t="s">
        <v>1</v>
      </c>
      <c r="O4" s="101" t="s">
        <v>1</v>
      </c>
      <c r="P4" s="101" t="s">
        <v>20</v>
      </c>
      <c r="Q4" s="101" t="s">
        <v>21</v>
      </c>
      <c r="R4" s="101" t="s">
        <v>1</v>
      </c>
      <c r="S4" s="101" t="s">
        <v>20</v>
      </c>
      <c r="T4" s="101" t="s">
        <v>21</v>
      </c>
      <c r="U4" s="101" t="s">
        <v>1</v>
      </c>
      <c r="V4" s="101" t="s">
        <v>41</v>
      </c>
      <c r="W4" s="101" t="s">
        <v>42</v>
      </c>
      <c r="X4" s="101" t="s">
        <v>43</v>
      </c>
      <c r="Y4" s="101" t="s">
        <v>41</v>
      </c>
      <c r="Z4" s="101" t="s">
        <v>42</v>
      </c>
      <c r="AA4" s="101" t="s">
        <v>43</v>
      </c>
      <c r="AB4" s="101" t="s">
        <v>20</v>
      </c>
      <c r="AC4" s="101" t="s">
        <v>21</v>
      </c>
      <c r="AD4" s="101" t="s">
        <v>1</v>
      </c>
      <c r="AE4" s="101" t="s">
        <v>20</v>
      </c>
      <c r="AF4" s="101" t="s">
        <v>21</v>
      </c>
      <c r="AG4" s="101" t="s">
        <v>1</v>
      </c>
    </row>
    <row r="5" spans="1:33" x14ac:dyDescent="0.25">
      <c r="A5" s="70">
        <f>'Network TDC'!A5</f>
        <v>2020</v>
      </c>
      <c r="B5" s="115">
        <f>('Network TDC'!H5*(1-'Network TDC'!T5)*'Fixed Factors'!$D$3+'Network TDC'!H5*'Network TDC'!T5*'Fixed Factors'!$E$3)+(('Network TDC'!H5*(1-'Network TDC'!T5)*'Fixed Factors'!$D$8+'Network TDC'!H5*'Network TDC'!T5*'Fixed Factors'!$E$8)*'Fixed Factors'!$I$9)</f>
        <v>25817065.16915752</v>
      </c>
      <c r="C5" s="115">
        <f>('Network TDC'!I5*(1-'Network TDC'!U5)*'Fixed Factors'!$D$4+'Network TDC'!I5*'Network TDC'!U5*'Fixed Factors'!$E$4)+(('Network TDC'!I5*(1-'Network TDC'!U5)*'Fixed Factors'!$D$9+'Network TDC'!I5*'Network TDC'!U5*'Fixed Factors'!$E$9)*'Fixed Factors'!$I$9)</f>
        <v>101383758.44992113</v>
      </c>
      <c r="D5" s="115">
        <f>('Network TDC'!J5*(1-'Network TDC'!V5)*'Fixed Factors'!$D$5+'Network TDC'!J5*'Network TDC'!V5*'Fixed Factors'!$E$5)+(('Network TDC'!J5*(1-'Network TDC'!V5)*'Fixed Factors'!$D$10+'Network TDC'!J5*'Network TDC'!V5*'Fixed Factors'!$E$10)*'Fixed Factors'!$I$8)</f>
        <v>59345735.361068755</v>
      </c>
      <c r="E5" s="115">
        <f>('Network TDC'!K5*(1-'Network TDC'!W5)*'Fixed Factors'!$D$3+'Network TDC'!K5*'Network TDC'!W5*'Fixed Factors'!$E$3)+(('Network TDC'!K5*(1-'Network TDC'!W5)*'Fixed Factors'!$D$8+'Network TDC'!K5*'Network TDC'!W5*'Fixed Factors'!$E$8)*'Fixed Factors'!$I$9)</f>
        <v>25817065.16915752</v>
      </c>
      <c r="F5" s="115">
        <f>('Network TDC'!L5*(1-'Network TDC'!X5)*'Fixed Factors'!$D$4+'Network TDC'!L5*'Network TDC'!X5*'Fixed Factors'!$E$4)+(('Network TDC'!L5*(1-'Network TDC'!X5)*'Fixed Factors'!$D$9+'Network TDC'!L5*'Network TDC'!X5*'Fixed Factors'!$E$9)*'Fixed Factors'!$I$9)</f>
        <v>101383758.44992113</v>
      </c>
      <c r="G5" s="115">
        <f>('Network TDC'!M5*(1-'Network TDC'!Y5)*'Fixed Factors'!$D$5+'Network TDC'!M5*'Network TDC'!Y5*'Fixed Factors'!$E$5)+(('Network TDC'!M5*(1-'Network TDC'!Y5)*'Fixed Factors'!$D$10+'Network TDC'!M5*'Network TDC'!Y5*'Fixed Factors'!$E$10)*'Fixed Factors'!$I$8)</f>
        <v>59345735.361068755</v>
      </c>
      <c r="H5" s="116">
        <f>'Network TDC'!N5*'Fixed Factors'!$I$13*'Fixed Factors'!$C$13</f>
        <v>46570146.092749991</v>
      </c>
      <c r="I5" s="116">
        <f>'Network TDC'!O5*'Fixed Factors'!$I$14*'Fixed Factors'!$C$14</f>
        <v>99818275.398799971</v>
      </c>
      <c r="J5" s="116">
        <f>'Network TDC'!P5*'Fixed Factors'!$I$15*'Fixed Factors'!$C$15</f>
        <v>30642292.633333333</v>
      </c>
      <c r="K5" s="117">
        <f>'Network TDC'!Q5*'Fixed Factors'!$I$13*'Fixed Factors'!$C$13</f>
        <v>46570146.092749991</v>
      </c>
      <c r="L5" s="117">
        <f>'Network TDC'!R5*'Fixed Factors'!$I$14*'Fixed Factors'!$C$14</f>
        <v>99818275.398799971</v>
      </c>
      <c r="M5" s="117">
        <f>'Network TDC'!S5*'Fixed Factors'!$I$15*'Fixed Factors'!$C$15</f>
        <v>30642292.633333333</v>
      </c>
      <c r="N5" s="117">
        <f>'Network TDC'!P5*'Network Shipper-Logistics'!$I$5*'Network Shipper-Logistics'!$I$7*SUMPRODUCT('Network Shipper-Logistics'!$D$6:$D$48,'Network Shipper-Logistics'!$N$6:$N$48)</f>
        <v>177291604.00979233</v>
      </c>
      <c r="O5" s="117">
        <f>'Network TDC'!S5*'Network Shipper-Logistics'!$I$5*'Network Shipper-Logistics'!$I$7*SUMPRODUCT('Network Shipper-Logistics'!$D$6:$D$48,'Network Shipper-Logistics'!$N$6:$N$48)</f>
        <v>177291604.00979233</v>
      </c>
      <c r="P5" s="116">
        <f>'Network TDC'!Z5*'Fixed Factors'!$D$13</f>
        <v>1406984.7049775375</v>
      </c>
      <c r="Q5" s="116">
        <f>'Network TDC'!AA5*'Fixed Factors'!$D$14</f>
        <v>3015725.7072726088</v>
      </c>
      <c r="R5" s="116">
        <f>'Network TDC'!AB5*'Fixed Factors'!$D$15</f>
        <v>2225845.2772568241</v>
      </c>
      <c r="S5" s="116">
        <f>'Network TDC'!AC5*'Fixed Factors'!$D$13</f>
        <v>1406984.7049775375</v>
      </c>
      <c r="T5" s="116">
        <f>'Network TDC'!AD5*'Fixed Factors'!$D$14</f>
        <v>3015725.7072726088</v>
      </c>
      <c r="U5" s="116">
        <f>'Network TDC'!AE5*'Fixed Factors'!$D$15</f>
        <v>2225845.2772568241</v>
      </c>
      <c r="V5" s="117">
        <f>'Network TDC'!AF5*'Fixed Factors'!$G$3</f>
        <v>26666894.537625596</v>
      </c>
      <c r="W5" s="117">
        <f>'Network TDC'!AG5*'Fixed Factors'!$H$3</f>
        <v>21750993.905993864</v>
      </c>
      <c r="X5" s="117">
        <f>'Network TDC'!AH5*'Fixed Factors'!$I$3</f>
        <v>1959258.8348745483</v>
      </c>
      <c r="Y5" s="117">
        <f>'Network TDC'!AI5*'Fixed Factors'!$G$3</f>
        <v>26666894.537625596</v>
      </c>
      <c r="Z5" s="117">
        <f>'Network TDC'!AJ5*'Fixed Factors'!$H$3</f>
        <v>21750993.905993864</v>
      </c>
      <c r="AA5" s="117">
        <f>'Network TDC'!AK5*'Fixed Factors'!$I$3</f>
        <v>1959258.8348745483</v>
      </c>
      <c r="AB5" s="117">
        <f>'Network TDC'!H5*'Network TDC'!T5*'Fixed Factors'!$E$29+'Network TDC'!H5*(1-'Network TDC'!T5)*'Fixed Factors'!$D$29</f>
        <v>580811.58288538549</v>
      </c>
      <c r="AC5" s="117">
        <f>'Network TDC'!I5*'Network TDC'!U5*'Fixed Factors'!$E$30+'Network TDC'!I5*(1-'Network TDC'!U5)*'Fixed Factors'!$D$30</f>
        <v>2280850.3150278809</v>
      </c>
      <c r="AD5" s="117">
        <f>'Network TDC'!J5*'Network TDC'!V5*'Fixed Factors'!$E$31+'Network TDC'!J5*(1-'Network TDC'!V5)*'Fixed Factors'!$D$31</f>
        <v>8873181.2491380069</v>
      </c>
      <c r="AE5" s="117">
        <f>'Network TDC'!K5*'Network TDC'!W5*'Fixed Factors'!$E$29+'Network TDC'!K5*(1-'Network TDC'!W5)*'Fixed Factors'!$D$29</f>
        <v>580811.58288538549</v>
      </c>
      <c r="AF5" s="117">
        <f>'Network TDC'!L5*'Network TDC'!X5*'Fixed Factors'!$E$30+'Network TDC'!L5*(1-'Network TDC'!X5)*'Fixed Factors'!$D$30</f>
        <v>2280850.3150278809</v>
      </c>
      <c r="AG5" s="117">
        <f>'Network TDC'!M5*'Network TDC'!Y5*'Fixed Factors'!$E$31+'Network TDC'!M5*(1-'Network TDC'!Y5)*'Fixed Factors'!$D$31</f>
        <v>8873181.2491380069</v>
      </c>
    </row>
    <row r="6" spans="1:33" x14ac:dyDescent="0.25">
      <c r="A6" s="70">
        <f>'Network TDC'!A6</f>
        <v>2021</v>
      </c>
      <c r="B6" s="115">
        <f>('Network TDC'!H6*(1-'Network TDC'!T6)*'Fixed Factors'!$D$3+'Network TDC'!H6*'Network TDC'!T6*'Fixed Factors'!$E$3)+(('Network TDC'!H6*(1-'Network TDC'!T6)*'Fixed Factors'!$D$8+'Network TDC'!H6*'Network TDC'!T6*'Fixed Factors'!$E$8)*'Fixed Factors'!$I$9)</f>
        <v>25820998.611424774</v>
      </c>
      <c r="C6" s="115">
        <f>('Network TDC'!I6*(1-'Network TDC'!U6)*'Fixed Factors'!$D$4+'Network TDC'!I6*'Network TDC'!U6*'Fixed Factors'!$E$4)+(('Network TDC'!I6*(1-'Network TDC'!U6)*'Fixed Factors'!$D$9+'Network TDC'!I6*'Network TDC'!U6*'Fixed Factors'!$E$9)*'Fixed Factors'!$I$9)</f>
        <v>101406744.60175097</v>
      </c>
      <c r="D6" s="115">
        <f>('Network TDC'!J6*(1-'Network TDC'!V6)*'Fixed Factors'!$D$5+'Network TDC'!J6*'Network TDC'!V6*'Fixed Factors'!$E$5)+(('Network TDC'!J6*(1-'Network TDC'!V6)*'Fixed Factors'!$D$10+'Network TDC'!J6*'Network TDC'!V6*'Fixed Factors'!$E$10)*'Fixed Factors'!$I$8)</f>
        <v>60429723.392333478</v>
      </c>
      <c r="E6" s="115">
        <f>('Network TDC'!K6*(1-'Network TDC'!W6)*'Fixed Factors'!$D$3+'Network TDC'!K6*'Network TDC'!W6*'Fixed Factors'!$E$3)+(('Network TDC'!K6*(1-'Network TDC'!W6)*'Fixed Factors'!$D$8+'Network TDC'!K6*'Network TDC'!W6*'Fixed Factors'!$E$8)*'Fixed Factors'!$I$9)</f>
        <v>25820998.611424774</v>
      </c>
      <c r="F6" s="115">
        <f>('Network TDC'!L6*(1-'Network TDC'!X6)*'Fixed Factors'!$D$4+'Network TDC'!L6*'Network TDC'!X6*'Fixed Factors'!$E$4)+(('Network TDC'!L6*(1-'Network TDC'!X6)*'Fixed Factors'!$D$9+'Network TDC'!L6*'Network TDC'!X6*'Fixed Factors'!$E$9)*'Fixed Factors'!$I$9)</f>
        <v>101406744.60175097</v>
      </c>
      <c r="G6" s="115">
        <f>('Network TDC'!M6*(1-'Network TDC'!Y6)*'Fixed Factors'!$D$5+'Network TDC'!M6*'Network TDC'!Y6*'Fixed Factors'!$E$5)+(('Network TDC'!M6*(1-'Network TDC'!Y6)*'Fixed Factors'!$D$10+'Network TDC'!M6*'Network TDC'!Y6*'Fixed Factors'!$E$10)*'Fixed Factors'!$I$8)</f>
        <v>60429723.392333478</v>
      </c>
      <c r="H6" s="116">
        <f>'Network TDC'!N6*'Fixed Factors'!$I$13*'Fixed Factors'!$C$13</f>
        <v>46582330.339236625</v>
      </c>
      <c r="I6" s="116">
        <f>'Network TDC'!O6*'Fixed Factors'!$I$14*'Fixed Factors'!$C$14</f>
        <v>99844391.066741139</v>
      </c>
      <c r="J6" s="116">
        <f>'Network TDC'!P6*'Fixed Factors'!$I$15*'Fixed Factors'!$C$15</f>
        <v>31304989.084154129</v>
      </c>
      <c r="K6" s="117">
        <f>'Network TDC'!Q6*'Fixed Factors'!$I$13*'Fixed Factors'!$C$13</f>
        <v>46582330.339236625</v>
      </c>
      <c r="L6" s="117">
        <f>'Network TDC'!R6*'Fixed Factors'!$I$14*'Fixed Factors'!$C$14</f>
        <v>99844391.066741139</v>
      </c>
      <c r="M6" s="117">
        <f>'Network TDC'!S6*'Fixed Factors'!$I$15*'Fixed Factors'!$C$15</f>
        <v>31304989.084154129</v>
      </c>
      <c r="N6" s="117">
        <f>'Network TDC'!P6*'Network Shipper-Logistics'!$I$5*'Network Shipper-Logistics'!$I$7*SUMPRODUCT('Network Shipper-Logistics'!$D$6:$D$48,'Network Shipper-Logistics'!$N$6:$N$48)</f>
        <v>181125864.00278667</v>
      </c>
      <c r="O6" s="117">
        <f>'Network TDC'!S6*'Network Shipper-Logistics'!$I$5*'Network Shipper-Logistics'!$I$7*SUMPRODUCT('Network Shipper-Logistics'!$D$6:$D$48,'Network Shipper-Logistics'!$N$6:$N$48)</f>
        <v>181125864.00278667</v>
      </c>
      <c r="P6" s="116">
        <f>'Network TDC'!Z6*'Fixed Factors'!$D$13</f>
        <v>1407352.8173818712</v>
      </c>
      <c r="Q6" s="116">
        <f>'Network TDC'!AA6*'Fixed Factors'!$D$14</f>
        <v>3016514.7180109541</v>
      </c>
      <c r="R6" s="116">
        <f>'Network TDC'!AB6*'Fixed Factors'!$D$15</f>
        <v>2273983.3125848244</v>
      </c>
      <c r="S6" s="116">
        <f>'Network TDC'!AC6*'Fixed Factors'!$D$13</f>
        <v>1407352.8173818712</v>
      </c>
      <c r="T6" s="116">
        <f>'Network TDC'!AD6*'Fixed Factors'!$D$14</f>
        <v>3016514.7180109541</v>
      </c>
      <c r="U6" s="116">
        <f>'Network TDC'!AE6*'Fixed Factors'!$D$15</f>
        <v>2273983.3125848244</v>
      </c>
      <c r="V6" s="117">
        <f>'Network TDC'!AF6*'Fixed Factors'!$G$3</f>
        <v>26748677.871350702</v>
      </c>
      <c r="W6" s="117">
        <f>'Network TDC'!AG6*'Fixed Factors'!$H$3</f>
        <v>21817700.915726721</v>
      </c>
      <c r="X6" s="117">
        <f>'Network TDC'!AH6*'Fixed Factors'!$I$3</f>
        <v>1965267.585496797</v>
      </c>
      <c r="Y6" s="117">
        <f>'Network TDC'!AI6*'Fixed Factors'!$G$3</f>
        <v>26748677.871350702</v>
      </c>
      <c r="Z6" s="117">
        <f>'Network TDC'!AJ6*'Fixed Factors'!$H$3</f>
        <v>21817700.915726721</v>
      </c>
      <c r="AA6" s="117">
        <f>'Network TDC'!AK6*'Fixed Factors'!$I$3</f>
        <v>1965267.585496797</v>
      </c>
      <c r="AB6" s="117">
        <f>'Network TDC'!H6*'Network TDC'!T6*'Fixed Factors'!$E$29+'Network TDC'!H6*(1-'Network TDC'!T6)*'Fixed Factors'!$D$29</f>
        <v>580900.0743081891</v>
      </c>
      <c r="AC6" s="117">
        <f>'Network TDC'!I6*'Network TDC'!U6*'Fixed Factors'!$E$30+'Network TDC'!I6*(1-'Network TDC'!U6)*'Fixed Factors'!$D$30</f>
        <v>2281367.4389976761</v>
      </c>
      <c r="AD6" s="117">
        <f>'Network TDC'!J6*'Network TDC'!V6*'Fixed Factors'!$E$31+'Network TDC'!J6*(1-'Network TDC'!V6)*'Fixed Factors'!$D$31</f>
        <v>9035255.6124395691</v>
      </c>
      <c r="AE6" s="117">
        <f>'Network TDC'!K6*'Network TDC'!W6*'Fixed Factors'!$E$29+'Network TDC'!K6*(1-'Network TDC'!W6)*'Fixed Factors'!$D$29</f>
        <v>580900.0743081891</v>
      </c>
      <c r="AF6" s="117">
        <f>'Network TDC'!L6*'Network TDC'!X6*'Fixed Factors'!$E$30+'Network TDC'!L6*(1-'Network TDC'!X6)*'Fixed Factors'!$D$30</f>
        <v>2281367.4389976761</v>
      </c>
      <c r="AG6" s="117">
        <f>'Network TDC'!M6*'Network TDC'!Y6*'Fixed Factors'!$E$31+'Network TDC'!M6*(1-'Network TDC'!Y6)*'Fixed Factors'!$D$31</f>
        <v>9035255.6124395691</v>
      </c>
    </row>
    <row r="7" spans="1:33" x14ac:dyDescent="0.25">
      <c r="A7" s="70">
        <f>'Network TDC'!A7</f>
        <v>2022</v>
      </c>
      <c r="B7" s="115">
        <f>('Network TDC'!H7*(1-'Network TDC'!T7)*'Fixed Factors'!$D$3+'Network TDC'!H7*'Network TDC'!T7*'Fixed Factors'!$E$3)+(('Network TDC'!H7*(1-'Network TDC'!T7)*'Fixed Factors'!$D$8+'Network TDC'!H7*'Network TDC'!T7*'Fixed Factors'!$E$8)*'Fixed Factors'!$I$9)</f>
        <v>25824932.652984321</v>
      </c>
      <c r="C7" s="115">
        <f>('Network TDC'!I7*(1-'Network TDC'!U7)*'Fixed Factors'!$D$4+'Network TDC'!I7*'Network TDC'!U7*'Fixed Factors'!$E$4)+(('Network TDC'!I7*(1-'Network TDC'!U7)*'Fixed Factors'!$D$9+'Network TDC'!I7*'Network TDC'!U7*'Fixed Factors'!$E$9)*'Fixed Factors'!$I$9)</f>
        <v>101429735.96509778</v>
      </c>
      <c r="D7" s="115">
        <f>('Network TDC'!J7*(1-'Network TDC'!V7)*'Fixed Factors'!$D$5+'Network TDC'!J7*'Network TDC'!V7*'Fixed Factors'!$E$5)+(('Network TDC'!J7*(1-'Network TDC'!V7)*'Fixed Factors'!$D$10+'Network TDC'!J7*'Network TDC'!V7*'Fixed Factors'!$E$10)*'Fixed Factors'!$I$8)</f>
        <v>61533511.16227828</v>
      </c>
      <c r="E7" s="115">
        <f>('Network TDC'!K7*(1-'Network TDC'!W7)*'Fixed Factors'!$D$3+'Network TDC'!K7*'Network TDC'!W7*'Fixed Factors'!$E$3)+(('Network TDC'!K7*(1-'Network TDC'!W7)*'Fixed Factors'!$D$8+'Network TDC'!K7*'Network TDC'!W7*'Fixed Factors'!$E$8)*'Fixed Factors'!$I$9)</f>
        <v>25824932.652984321</v>
      </c>
      <c r="F7" s="115">
        <f>('Network TDC'!L7*(1-'Network TDC'!X7)*'Fixed Factors'!$D$4+'Network TDC'!L7*'Network TDC'!X7*'Fixed Factors'!$E$4)+(('Network TDC'!L7*(1-'Network TDC'!X7)*'Fixed Factors'!$D$9+'Network TDC'!L7*'Network TDC'!X7*'Fixed Factors'!$E$9)*'Fixed Factors'!$I$9)</f>
        <v>101429735.96509778</v>
      </c>
      <c r="G7" s="115">
        <f>('Network TDC'!M7*(1-'Network TDC'!Y7)*'Fixed Factors'!$D$5+'Network TDC'!M7*'Network TDC'!Y7*'Fixed Factors'!$E$5)+(('Network TDC'!M7*(1-'Network TDC'!Y7)*'Fixed Factors'!$D$10+'Network TDC'!M7*'Network TDC'!Y7*'Fixed Factors'!$E$10)*'Fixed Factors'!$I$8)</f>
        <v>61533511.16227828</v>
      </c>
      <c r="H7" s="116">
        <f>'Network TDC'!N7*'Fixed Factors'!$I$13*'Fixed Factors'!$C$13</f>
        <v>46594517.773513608</v>
      </c>
      <c r="I7" s="116">
        <f>'Network TDC'!O7*'Fixed Factors'!$I$14*'Fixed Factors'!$C$14</f>
        <v>99870513.5673801</v>
      </c>
      <c r="J7" s="116">
        <f>'Network TDC'!P7*'Fixed Factors'!$I$15*'Fixed Factors'!$C$15</f>
        <v>31982017.575699996</v>
      </c>
      <c r="K7" s="117">
        <f>'Network TDC'!Q7*'Fixed Factors'!$I$13*'Fixed Factors'!$C$13</f>
        <v>46594517.773513608</v>
      </c>
      <c r="L7" s="117">
        <f>'Network TDC'!R7*'Fixed Factors'!$I$14*'Fixed Factors'!$C$14</f>
        <v>99870513.5673801</v>
      </c>
      <c r="M7" s="117">
        <f>'Network TDC'!S7*'Fixed Factors'!$I$15*'Fixed Factors'!$C$15</f>
        <v>31982017.575699996</v>
      </c>
      <c r="N7" s="117">
        <f>'Network TDC'!P7*'Network Shipper-Logistics'!$I$5*'Network Shipper-Logistics'!$I$7*SUMPRODUCT('Network Shipper-Logistics'!$D$6:$D$48,'Network Shipper-Logistics'!$N$6:$N$48)</f>
        <v>185043046.98458236</v>
      </c>
      <c r="O7" s="117">
        <f>'Network TDC'!S7*'Network Shipper-Logistics'!$I$5*'Network Shipper-Logistics'!$I$7*SUMPRODUCT('Network Shipper-Logistics'!$D$6:$D$48,'Network Shipper-Logistics'!$N$6:$N$48)</f>
        <v>185043046.98458236</v>
      </c>
      <c r="P7" s="116">
        <f>'Network TDC'!Z7*'Fixed Factors'!$D$13</f>
        <v>1407721.0260962369</v>
      </c>
      <c r="Q7" s="116">
        <f>'Network TDC'!AA7*'Fixed Factors'!$D$14</f>
        <v>3017303.9351798585</v>
      </c>
      <c r="R7" s="116">
        <f>'Network TDC'!AB7*'Fixed Factors'!$D$15</f>
        <v>2323162.4222718189</v>
      </c>
      <c r="S7" s="116">
        <f>'Network TDC'!AC7*'Fixed Factors'!$D$13</f>
        <v>1407721.0260962369</v>
      </c>
      <c r="T7" s="116">
        <f>'Network TDC'!AD7*'Fixed Factors'!$D$14</f>
        <v>3017303.9351798585</v>
      </c>
      <c r="U7" s="116">
        <f>'Network TDC'!AE7*'Fixed Factors'!$D$15</f>
        <v>2323162.4222718189</v>
      </c>
      <c r="V7" s="117">
        <f>'Network TDC'!AF7*'Fixed Factors'!$G$3</f>
        <v>26831869.2754687</v>
      </c>
      <c r="W7" s="117">
        <f>'Network TDC'!AG7*'Fixed Factors'!$H$3</f>
        <v>21885556.425540533</v>
      </c>
      <c r="X7" s="117">
        <f>'Network TDC'!AH7*'Fixed Factors'!$I$3</f>
        <v>1971379.7892734248</v>
      </c>
      <c r="Y7" s="117">
        <f>'Network TDC'!AI7*'Fixed Factors'!$G$3</f>
        <v>26831869.2754687</v>
      </c>
      <c r="Z7" s="117">
        <f>'Network TDC'!AJ7*'Fixed Factors'!$H$3</f>
        <v>21885556.425540533</v>
      </c>
      <c r="AA7" s="117">
        <f>'Network TDC'!AK7*'Fixed Factors'!$I$3</f>
        <v>1971379.7892734248</v>
      </c>
      <c r="AB7" s="117">
        <f>'Network TDC'!H7*'Network TDC'!T7*'Fixed Factors'!$E$29+'Network TDC'!H7*(1-'Network TDC'!T7)*'Fixed Factors'!$D$29</f>
        <v>580988.57921338896</v>
      </c>
      <c r="AC7" s="117">
        <f>'Network TDC'!I7*'Network TDC'!U7*'Fixed Factors'!$E$30+'Network TDC'!I7*(1-'Network TDC'!U7)*'Fixed Factors'!$D$30</f>
        <v>2281884.6802119915</v>
      </c>
      <c r="AD7" s="117">
        <f>'Network TDC'!J7*'Network TDC'!V7*'Fixed Factors'!$E$31+'Network TDC'!J7*(1-'Network TDC'!V7)*'Fixed Factors'!$D$31</f>
        <v>9200290.3682432175</v>
      </c>
      <c r="AE7" s="117">
        <f>'Network TDC'!K7*'Network TDC'!W7*'Fixed Factors'!$E$29+'Network TDC'!K7*(1-'Network TDC'!W7)*'Fixed Factors'!$D$29</f>
        <v>580988.57921338896</v>
      </c>
      <c r="AF7" s="117">
        <f>'Network TDC'!L7*'Network TDC'!X7*'Fixed Factors'!$E$30+'Network TDC'!L7*(1-'Network TDC'!X7)*'Fixed Factors'!$D$30</f>
        <v>2281884.6802119915</v>
      </c>
      <c r="AG7" s="117">
        <f>'Network TDC'!M7*'Network TDC'!Y7*'Fixed Factors'!$E$31+'Network TDC'!M7*(1-'Network TDC'!Y7)*'Fixed Factors'!$D$31</f>
        <v>9200290.3682432175</v>
      </c>
    </row>
    <row r="8" spans="1:33" x14ac:dyDescent="0.25">
      <c r="A8" s="70">
        <f>'Network TDC'!A8</f>
        <v>2023</v>
      </c>
      <c r="B8" s="115">
        <f>('Network TDC'!H8*(1-'Network TDC'!T8)*'Fixed Factors'!$D$3+'Network TDC'!H8*'Network TDC'!T8*'Fixed Factors'!$E$3)+(('Network TDC'!H8*(1-'Network TDC'!T8)*'Fixed Factors'!$D$8+'Network TDC'!H8*'Network TDC'!T8*'Fixed Factors'!$E$8)*'Fixed Factors'!$I$9)</f>
        <v>25828867.293927457</v>
      </c>
      <c r="C8" s="115">
        <f>('Network TDC'!I8*(1-'Network TDC'!U8)*'Fixed Factors'!$D$4+'Network TDC'!I8*'Network TDC'!U8*'Fixed Factors'!$E$4)+(('Network TDC'!I8*(1-'Network TDC'!U8)*'Fixed Factors'!$D$9+'Network TDC'!I8*'Network TDC'!U8*'Fixed Factors'!$E$9)*'Fixed Factors'!$I$9)</f>
        <v>101452732.5411431</v>
      </c>
      <c r="D8" s="115">
        <f>('Network TDC'!J8*(1-'Network TDC'!V8)*'Fixed Factors'!$D$5+'Network TDC'!J8*'Network TDC'!V8*'Fixed Factors'!$E$5)+(('Network TDC'!J8*(1-'Network TDC'!V8)*'Fixed Factors'!$D$10+'Network TDC'!J8*'Network TDC'!V8*'Fixed Factors'!$E$10)*'Fixed Factors'!$I$8)</f>
        <v>62657460.32586655</v>
      </c>
      <c r="E8" s="115">
        <f>('Network TDC'!K8*(1-'Network TDC'!W8)*'Fixed Factors'!$D$3+'Network TDC'!K8*'Network TDC'!W8*'Fixed Factors'!$E$3)+(('Network TDC'!K8*(1-'Network TDC'!W8)*'Fixed Factors'!$D$8+'Network TDC'!K8*'Network TDC'!W8*'Fixed Factors'!$E$8)*'Fixed Factors'!$I$9)</f>
        <v>25828867.293927457</v>
      </c>
      <c r="F8" s="115">
        <f>('Network TDC'!L8*(1-'Network TDC'!X8)*'Fixed Factors'!$D$4+'Network TDC'!L8*'Network TDC'!X8*'Fixed Factors'!$E$4)+(('Network TDC'!L8*(1-'Network TDC'!X8)*'Fixed Factors'!$D$9+'Network TDC'!L8*'Network TDC'!X8*'Fixed Factors'!$E$9)*'Fixed Factors'!$I$9)</f>
        <v>101452732.5411431</v>
      </c>
      <c r="G8" s="115">
        <f>('Network TDC'!M8*(1-'Network TDC'!Y8)*'Fixed Factors'!$D$5+'Network TDC'!M8*'Network TDC'!Y8*'Fixed Factors'!$E$5)+(('Network TDC'!M8*(1-'Network TDC'!Y8)*'Fixed Factors'!$D$10+'Network TDC'!M8*'Network TDC'!Y8*'Fixed Factors'!$E$10)*'Fixed Factors'!$I$8)</f>
        <v>62657460.32586655</v>
      </c>
      <c r="H8" s="116">
        <f>'Network TDC'!N8*'Fixed Factors'!$I$13*'Fixed Factors'!$C$13</f>
        <v>46606708.396414965</v>
      </c>
      <c r="I8" s="116">
        <f>'Network TDC'!O8*'Fixed Factors'!$I$14*'Fixed Factors'!$C$14</f>
        <v>99896642.902504519</v>
      </c>
      <c r="J8" s="116">
        <f>'Network TDC'!P8*'Fixed Factors'!$I$15*'Fixed Factors'!$C$15</f>
        <v>32673688.064952128</v>
      </c>
      <c r="K8" s="117">
        <f>'Network TDC'!Q8*'Fixed Factors'!$I$13*'Fixed Factors'!$C$13</f>
        <v>46606708.396414965</v>
      </c>
      <c r="L8" s="117">
        <f>'Network TDC'!R8*'Fixed Factors'!$I$14*'Fixed Factors'!$C$14</f>
        <v>99896642.902504519</v>
      </c>
      <c r="M8" s="117">
        <f>'Network TDC'!S8*'Fixed Factors'!$I$15*'Fixed Factors'!$C$15</f>
        <v>32673688.064952128</v>
      </c>
      <c r="N8" s="117">
        <f>'Network TDC'!P8*'Network Shipper-Logistics'!$I$5*'Network Shipper-Logistics'!$I$7*SUMPRODUCT('Network Shipper-Logistics'!$D$6:$D$48,'Network Shipper-Logistics'!$N$6:$N$48)</f>
        <v>189044946.31871873</v>
      </c>
      <c r="O8" s="117">
        <f>'Network TDC'!S8*'Network Shipper-Logistics'!$I$5*'Network Shipper-Logistics'!$I$7*SUMPRODUCT('Network Shipper-Logistics'!$D$6:$D$48,'Network Shipper-Logistics'!$N$6:$N$48)</f>
        <v>189044946.31871873</v>
      </c>
      <c r="P8" s="116">
        <f>'Network TDC'!Z8*'Fixed Factors'!$D$13</f>
        <v>1408089.3311458323</v>
      </c>
      <c r="Q8" s="116">
        <f>'Network TDC'!AA8*'Fixed Factors'!$D$14</f>
        <v>3018093.3588333311</v>
      </c>
      <c r="R8" s="116">
        <f>'Network TDC'!AB8*'Fixed Factors'!$D$15</f>
        <v>2373405.1214830722</v>
      </c>
      <c r="S8" s="116">
        <f>'Network TDC'!AC8*'Fixed Factors'!$D$13</f>
        <v>1408089.3311458323</v>
      </c>
      <c r="T8" s="116">
        <f>'Network TDC'!AD8*'Fixed Factors'!$D$14</f>
        <v>3018093.3588333311</v>
      </c>
      <c r="U8" s="116">
        <f>'Network TDC'!AE8*'Fixed Factors'!$D$15</f>
        <v>2373405.1214830722</v>
      </c>
      <c r="V8" s="117">
        <f>'Network TDC'!AF8*'Fixed Factors'!$G$3</f>
        <v>26916494.450783513</v>
      </c>
      <c r="W8" s="117">
        <f>'Network TDC'!AG8*'Fixed Factors'!$H$3</f>
        <v>21954581.398432259</v>
      </c>
      <c r="X8" s="117">
        <f>'Network TDC'!AH8*'Fixed Factors'!$I$3</f>
        <v>1977597.3344830633</v>
      </c>
      <c r="Y8" s="117">
        <f>'Network TDC'!AI8*'Fixed Factors'!$G$3</f>
        <v>26916494.450783513</v>
      </c>
      <c r="Z8" s="117">
        <f>'Network TDC'!AJ8*'Fixed Factors'!$H$3</f>
        <v>21954581.398432259</v>
      </c>
      <c r="AA8" s="117">
        <f>'Network TDC'!AK8*'Fixed Factors'!$I$3</f>
        <v>1977597.3344830633</v>
      </c>
      <c r="AB8" s="117">
        <f>'Network TDC'!H8*'Network TDC'!T8*'Fixed Factors'!$E$29+'Network TDC'!H8*(1-'Network TDC'!T8)*'Fixed Factors'!$D$29</f>
        <v>581077.09760303935</v>
      </c>
      <c r="AC8" s="117">
        <f>'Network TDC'!I8*'Network TDC'!U8*'Fixed Factors'!$E$30+'Network TDC'!I8*(1-'Network TDC'!U8)*'Fixed Factors'!$D$30</f>
        <v>2282402.0386974085</v>
      </c>
      <c r="AD8" s="117">
        <f>'Network TDC'!J8*'Network TDC'!V8*'Fixed Factors'!$E$31+'Network TDC'!J8*(1-'Network TDC'!V8)*'Fixed Factors'!$D$31</f>
        <v>9368339.5900223143</v>
      </c>
      <c r="AE8" s="117">
        <f>'Network TDC'!K8*'Network TDC'!W8*'Fixed Factors'!$E$29+'Network TDC'!K8*(1-'Network TDC'!W8)*'Fixed Factors'!$D$29</f>
        <v>581077.09760303935</v>
      </c>
      <c r="AF8" s="117">
        <f>'Network TDC'!L8*'Network TDC'!X8*'Fixed Factors'!$E$30+'Network TDC'!L8*(1-'Network TDC'!X8)*'Fixed Factors'!$D$30</f>
        <v>2282402.0386974085</v>
      </c>
      <c r="AG8" s="117">
        <f>'Network TDC'!M8*'Network TDC'!Y8*'Fixed Factors'!$E$31+'Network TDC'!M8*(1-'Network TDC'!Y8)*'Fixed Factors'!$D$31</f>
        <v>9368339.5900223143</v>
      </c>
    </row>
    <row r="9" spans="1:33" x14ac:dyDescent="0.25">
      <c r="A9" s="70">
        <f>'Network TDC'!A9</f>
        <v>2024</v>
      </c>
      <c r="B9" s="115">
        <f>('Network TDC'!H9*(1-'Network TDC'!T9)*'Fixed Factors'!$D$3+'Network TDC'!H9*'Network TDC'!T9*'Fixed Factors'!$E$3)+(('Network TDC'!H9*(1-'Network TDC'!T9)*'Fixed Factors'!$D$8+'Network TDC'!H9*'Network TDC'!T9*'Fixed Factors'!$E$8)*'Fixed Factors'!$I$9)</f>
        <v>25832802.534345515</v>
      </c>
      <c r="C9" s="115">
        <f>('Network TDC'!I9*(1-'Network TDC'!U9)*'Fixed Factors'!$D$4+'Network TDC'!I9*'Network TDC'!U9*'Fixed Factors'!$E$4)+(('Network TDC'!I9*(1-'Network TDC'!U9)*'Fixed Factors'!$D$9+'Network TDC'!I9*'Network TDC'!U9*'Fixed Factors'!$E$9)*'Fixed Factors'!$I$9)</f>
        <v>101475734.33106881</v>
      </c>
      <c r="D9" s="115">
        <f>('Network TDC'!J9*(1-'Network TDC'!V9)*'Fixed Factors'!$D$5+'Network TDC'!J9*'Network TDC'!V9*'Fixed Factors'!$E$5)+(('Network TDC'!J9*(1-'Network TDC'!V9)*'Fixed Factors'!$D$10+'Network TDC'!J9*'Network TDC'!V9*'Fixed Factors'!$E$10)*'Fixed Factors'!$I$8)</f>
        <v>63801939.143922269</v>
      </c>
      <c r="E9" s="115">
        <f>('Network TDC'!K9*(1-'Network TDC'!W9)*'Fixed Factors'!$D$3+'Network TDC'!K9*'Network TDC'!W9*'Fixed Factors'!$E$3)+(('Network TDC'!K9*(1-'Network TDC'!W9)*'Fixed Factors'!$D$8+'Network TDC'!K9*'Network TDC'!W9*'Fixed Factors'!$E$8)*'Fixed Factors'!$I$9)</f>
        <v>25832802.534345515</v>
      </c>
      <c r="F9" s="115">
        <f>('Network TDC'!L9*(1-'Network TDC'!X9)*'Fixed Factors'!$D$4+'Network TDC'!L9*'Network TDC'!X9*'Fixed Factors'!$E$4)+(('Network TDC'!L9*(1-'Network TDC'!X9)*'Fixed Factors'!$D$9+'Network TDC'!L9*'Network TDC'!X9*'Fixed Factors'!$E$9)*'Fixed Factors'!$I$9)</f>
        <v>101475734.33106881</v>
      </c>
      <c r="G9" s="115">
        <f>('Network TDC'!M9*(1-'Network TDC'!Y9)*'Fixed Factors'!$D$5+'Network TDC'!M9*'Network TDC'!Y9*'Fixed Factors'!$E$5)+(('Network TDC'!M9*(1-'Network TDC'!Y9)*'Fixed Factors'!$D$10+'Network TDC'!M9*'Network TDC'!Y9*'Fixed Factors'!$E$10)*'Fixed Factors'!$I$8)</f>
        <v>63801939.143922269</v>
      </c>
      <c r="H9" s="116">
        <f>'Network TDC'!N9*'Fixed Factors'!$I$13*'Fixed Factors'!$C$13</f>
        <v>46618902.208774954</v>
      </c>
      <c r="I9" s="116">
        <f>'Network TDC'!O9*'Fixed Factors'!$I$14*'Fixed Factors'!$C$14</f>
        <v>99922779.073902532</v>
      </c>
      <c r="J9" s="116">
        <f>'Network TDC'!P9*'Fixed Factors'!$I$15*'Fixed Factors'!$C$15</f>
        <v>33380317.212286729</v>
      </c>
      <c r="K9" s="117">
        <f>'Network TDC'!Q9*'Fixed Factors'!$I$13*'Fixed Factors'!$C$13</f>
        <v>46618902.208774954</v>
      </c>
      <c r="L9" s="117">
        <f>'Network TDC'!R9*'Fixed Factors'!$I$14*'Fixed Factors'!$C$14</f>
        <v>99922779.073902532</v>
      </c>
      <c r="M9" s="117">
        <f>'Network TDC'!S9*'Fixed Factors'!$I$15*'Fixed Factors'!$C$15</f>
        <v>33380317.212286729</v>
      </c>
      <c r="N9" s="117">
        <f>'Network TDC'!P9*'Network Shipper-Logistics'!$I$5*'Network Shipper-Logistics'!$I$7*SUMPRODUCT('Network Shipper-Logistics'!$D$6:$D$48,'Network Shipper-Logistics'!$N$6:$N$48)</f>
        <v>193133394.15355018</v>
      </c>
      <c r="O9" s="117">
        <f>'Network TDC'!S9*'Network Shipper-Logistics'!$I$5*'Network Shipper-Logistics'!$I$7*SUMPRODUCT('Network Shipper-Logistics'!$D$6:$D$48,'Network Shipper-Logistics'!$N$6:$N$48)</f>
        <v>193133394.15355018</v>
      </c>
      <c r="P9" s="116">
        <f>'Network TDC'!Z9*'Fixed Factors'!$D$13</f>
        <v>1408457.7325558625</v>
      </c>
      <c r="Q9" s="116">
        <f>'Network TDC'!AA9*'Fixed Factors'!$D$14</f>
        <v>3018882.9890253958</v>
      </c>
      <c r="R9" s="116">
        <f>'Network TDC'!AB9*'Fixed Factors'!$D$15</f>
        <v>2424734.4123160876</v>
      </c>
      <c r="S9" s="116">
        <f>'Network TDC'!AC9*'Fixed Factors'!$D$13</f>
        <v>1408457.7325558625</v>
      </c>
      <c r="T9" s="116">
        <f>'Network TDC'!AD9*'Fixed Factors'!$D$14</f>
        <v>3018882.9890253958</v>
      </c>
      <c r="U9" s="116">
        <f>'Network TDC'!AE9*'Fixed Factors'!$D$15</f>
        <v>2424734.4123160876</v>
      </c>
      <c r="V9" s="117">
        <f>'Network TDC'!AF9*'Fixed Factors'!$G$3</f>
        <v>27002579.567536686</v>
      </c>
      <c r="W9" s="117">
        <f>'Network TDC'!AG9*'Fixed Factors'!$H$3</f>
        <v>22024797.180298164</v>
      </c>
      <c r="X9" s="117">
        <f>'Network TDC'!AH9*'Fixed Factors'!$I$3</f>
        <v>1983922.1438946687</v>
      </c>
      <c r="Y9" s="117">
        <f>'Network TDC'!AI9*'Fixed Factors'!$G$3</f>
        <v>27002579.567536686</v>
      </c>
      <c r="Z9" s="117">
        <f>'Network TDC'!AJ9*'Fixed Factors'!$H$3</f>
        <v>22024797.180298164</v>
      </c>
      <c r="AA9" s="117">
        <f>'Network TDC'!AK9*'Fixed Factors'!$I$3</f>
        <v>1983922.1438946687</v>
      </c>
      <c r="AB9" s="117">
        <f>'Network TDC'!H9*'Network TDC'!T9*'Fixed Factors'!$E$29+'Network TDC'!H9*(1-'Network TDC'!T9)*'Fixed Factors'!$D$29</f>
        <v>581165.62947919441</v>
      </c>
      <c r="AC9" s="117">
        <f>'Network TDC'!I9*'Network TDC'!U9*'Fixed Factors'!$E$30+'Network TDC'!I9*(1-'Network TDC'!U9)*'Fixed Factors'!$D$30</f>
        <v>2282919.5144805163</v>
      </c>
      <c r="AD9" s="117">
        <f>'Network TDC'!J9*'Network TDC'!V9*'Fixed Factors'!$E$31+'Network TDC'!J9*(1-'Network TDC'!V9)*'Fixed Factors'!$D$31</f>
        <v>9539458.3389369939</v>
      </c>
      <c r="AE9" s="117">
        <f>'Network TDC'!K9*'Network TDC'!W9*'Fixed Factors'!$E$29+'Network TDC'!K9*(1-'Network TDC'!W9)*'Fixed Factors'!$D$29</f>
        <v>581165.62947919441</v>
      </c>
      <c r="AF9" s="117">
        <f>'Network TDC'!L9*'Network TDC'!X9*'Fixed Factors'!$E$30+'Network TDC'!L9*(1-'Network TDC'!X9)*'Fixed Factors'!$D$30</f>
        <v>2282919.5144805163</v>
      </c>
      <c r="AG9" s="117">
        <f>'Network TDC'!M9*'Network TDC'!Y9*'Fixed Factors'!$E$31+'Network TDC'!M9*(1-'Network TDC'!Y9)*'Fixed Factors'!$D$31</f>
        <v>9539458.3389369939</v>
      </c>
    </row>
    <row r="10" spans="1:33" x14ac:dyDescent="0.25">
      <c r="A10" s="70">
        <f>'Network TDC'!A10</f>
        <v>2025</v>
      </c>
      <c r="B10" s="115">
        <f>('Network TDC'!H10*(1-'Network TDC'!T10)*'Fixed Factors'!$D$3+'Network TDC'!H10*'Network TDC'!T10*'Fixed Factors'!$E$3)+(('Network TDC'!H10*(1-'Network TDC'!T10)*'Fixed Factors'!$D$8+'Network TDC'!H10*'Network TDC'!T10*'Fixed Factors'!$E$8)*'Fixed Factors'!$I$9)</f>
        <v>25836738.374329824</v>
      </c>
      <c r="C10" s="115">
        <f>('Network TDC'!I10*(1-'Network TDC'!U10)*'Fixed Factors'!$D$4+'Network TDC'!I10*'Network TDC'!U10*'Fixed Factors'!$E$4)+(('Network TDC'!I10*(1-'Network TDC'!U10)*'Fixed Factors'!$D$9+'Network TDC'!I10*'Network TDC'!U10*'Fixed Factors'!$E$9)*'Fixed Factors'!$I$9)</f>
        <v>101498741.33605701</v>
      </c>
      <c r="D10" s="115">
        <f>('Network TDC'!J10*(1-'Network TDC'!V10)*'Fixed Factors'!$D$5+'Network TDC'!J10*'Network TDC'!V10*'Fixed Factors'!$E$5)+(('Network TDC'!J10*(1-'Network TDC'!V10)*'Fixed Factors'!$D$10+'Network TDC'!J10*'Network TDC'!V10*'Fixed Factors'!$E$10)*'Fixed Factors'!$I$8)</f>
        <v>64967322.603790253</v>
      </c>
      <c r="E10" s="115">
        <f>('Network TDC'!K10*(1-'Network TDC'!W10)*'Fixed Factors'!$D$3+'Network TDC'!K10*'Network TDC'!W10*'Fixed Factors'!$E$3)+(('Network TDC'!K10*(1-'Network TDC'!W10)*'Fixed Factors'!$D$8+'Network TDC'!K10*'Network TDC'!W10*'Fixed Factors'!$E$8)*'Fixed Factors'!$I$9)</f>
        <v>25741240.649152711</v>
      </c>
      <c r="F10" s="115">
        <f>('Network TDC'!L10*(1-'Network TDC'!X10)*'Fixed Factors'!$D$4+'Network TDC'!L10*'Network TDC'!X10*'Fixed Factors'!$E$4)+(('Network TDC'!L10*(1-'Network TDC'!X10)*'Fixed Factors'!$D$9+'Network TDC'!L10*'Network TDC'!X10*'Fixed Factors'!$E$9)*'Fixed Factors'!$I$9)</f>
        <v>101112255.19351353</v>
      </c>
      <c r="G10" s="115">
        <f>('Network TDC'!M10*(1-'Network TDC'!Y10)*'Fixed Factors'!$D$5+'Network TDC'!M10*'Network TDC'!Y10*'Fixed Factors'!$E$5)+(('Network TDC'!M10*(1-'Network TDC'!Y10)*'Fixed Factors'!$D$10+'Network TDC'!M10*'Network TDC'!Y10*'Fixed Factors'!$E$10)*'Fixed Factors'!$I$8)</f>
        <v>64650562.348403901</v>
      </c>
      <c r="H10" s="116">
        <f>'Network TDC'!N10*'Fixed Factors'!$I$13*'Fixed Factors'!$C$13</f>
        <v>46631099.211428039</v>
      </c>
      <c r="I10" s="116">
        <f>'Network TDC'!O10*'Fixed Factors'!$I$14*'Fixed Factors'!$C$14</f>
        <v>99948922.083362728</v>
      </c>
      <c r="J10" s="116">
        <f>'Network TDC'!P10*'Fixed Factors'!$I$15*'Fixed Factors'!$C$15</f>
        <v>34102228.526448354</v>
      </c>
      <c r="K10" s="117">
        <f>'Network TDC'!Q10*'Fixed Factors'!$I$13*'Fixed Factors'!$C$13</f>
        <v>45361748.469209187</v>
      </c>
      <c r="L10" s="117">
        <f>'Network TDC'!R10*'Fixed Factors'!$I$14*'Fixed Factors'!$C$14</f>
        <v>97228200.492493644</v>
      </c>
      <c r="M10" s="117">
        <f>'Network TDC'!S10*'Fixed Factors'!$I$15*'Fixed Factors'!$C$15</f>
        <v>31692367.050099861</v>
      </c>
      <c r="N10" s="117">
        <f>'Network TDC'!P10*'Network Shipper-Logistics'!$I$5*'Network Shipper-Logistics'!$I$7*SUMPRODUCT('Network Shipper-Logistics'!$D$6:$D$48,'Network Shipper-Logistics'!$N$6:$N$48)</f>
        <v>197310262.2610397</v>
      </c>
      <c r="O10" s="117">
        <f>'Network TDC'!S10*'Network Shipper-Logistics'!$I$5*'Network Shipper-Logistics'!$I$7*SUMPRODUCT('Network Shipper-Logistics'!$D$6:$D$48,'Network Shipper-Logistics'!$N$6:$N$48)</f>
        <v>183367173.48189068</v>
      </c>
      <c r="P10" s="116">
        <f>'Network TDC'!Z10*'Fixed Factors'!$D$13</f>
        <v>1408826.2303515377</v>
      </c>
      <c r="Q10" s="116">
        <f>'Network TDC'!AA10*'Fixed Factors'!$D$14</f>
        <v>3019672.8258100883</v>
      </c>
      <c r="R10" s="116">
        <f>'Network TDC'!AB10*'Fixed Factors'!$D$15</f>
        <v>2477173.7943314188</v>
      </c>
      <c r="S10" s="116">
        <f>'Network TDC'!AC10*'Fixed Factors'!$D$13</f>
        <v>1370476.4026315031</v>
      </c>
      <c r="T10" s="116">
        <f>'Network TDC'!AD10*'Fixed Factors'!$D$14</f>
        <v>2937473.9497912969</v>
      </c>
      <c r="U10" s="116">
        <f>'Network TDC'!AE10*'Fixed Factors'!$D$15</f>
        <v>2302122.3107443713</v>
      </c>
      <c r="V10" s="117">
        <f>'Network TDC'!AF10*'Fixed Factors'!$G$3</f>
        <v>27090151.273982041</v>
      </c>
      <c r="W10" s="117">
        <f>'Network TDC'!AG10*'Fixed Factors'!$H$3</f>
        <v>22096225.506927758</v>
      </c>
      <c r="X10" s="117">
        <f>'Network TDC'!AH10*'Fixed Factors'!$I$3</f>
        <v>1990356.1753975127</v>
      </c>
      <c r="Y10" s="117">
        <f>'Network TDC'!AI10*'Fixed Factors'!$G$3</f>
        <v>26982576.178391818</v>
      </c>
      <c r="Z10" s="117">
        <f>'Network TDC'!AJ10*'Fixed Factors'!$H$3</f>
        <v>22008481.309892811</v>
      </c>
      <c r="AA10" s="117">
        <f>'Network TDC'!AK10*'Fixed Factors'!$I$3</f>
        <v>1982452.4633192194</v>
      </c>
      <c r="AB10" s="117">
        <f>'Network TDC'!H10*'Network TDC'!T10*'Fixed Factors'!$E$29+'Network TDC'!H10*(1-'Network TDC'!T10)*'Fixed Factors'!$D$29</f>
        <v>581254.17484390934</v>
      </c>
      <c r="AC10" s="117">
        <f>'Network TDC'!I10*'Network TDC'!U10*'Fixed Factors'!$E$30+'Network TDC'!I10*(1-'Network TDC'!U10)*'Fixed Factors'!$D$30</f>
        <v>2283437.1075879084</v>
      </c>
      <c r="AD10" s="117">
        <f>'Network TDC'!J10*'Network TDC'!V10*'Fixed Factors'!$E$31+'Network TDC'!J10*(1-'Network TDC'!V10)*'Fixed Factors'!$D$31</f>
        <v>9713702.6818748973</v>
      </c>
      <c r="AE10" s="117">
        <f>'Network TDC'!K10*'Network TDC'!W10*'Fixed Factors'!$E$29+'Network TDC'!K10*(1-'Network TDC'!W10)*'Fixed Factors'!$D$29</f>
        <v>579105.74377482187</v>
      </c>
      <c r="AF10" s="117">
        <f>'Network TDC'!L10*'Network TDC'!X10*'Fixed Factors'!$E$30+'Network TDC'!L10*(1-'Network TDC'!X10)*'Fixed Factors'!$D$30</f>
        <v>2274742.2529735994</v>
      </c>
      <c r="AG10" s="117">
        <f>'Network TDC'!M10*'Network TDC'!Y10*'Fixed Factors'!$E$31+'Network TDC'!M10*(1-'Network TDC'!Y10)*'Fixed Factors'!$D$31</f>
        <v>9666341.7191795018</v>
      </c>
    </row>
    <row r="11" spans="1:33" x14ac:dyDescent="0.25">
      <c r="A11" s="70">
        <f>'Network TDC'!A11</f>
        <v>2026</v>
      </c>
      <c r="B11" s="115">
        <f>('Network TDC'!H11*(1-'Network TDC'!T11)*'Fixed Factors'!$D$3+'Network TDC'!H11*'Network TDC'!T11*'Fixed Factors'!$E$3)+(('Network TDC'!H11*(1-'Network TDC'!T11)*'Fixed Factors'!$D$8+'Network TDC'!H11*'Network TDC'!T11*'Fixed Factors'!$E$8)*'Fixed Factors'!$I$9)</f>
        <v>25840674.813971732</v>
      </c>
      <c r="C11" s="115">
        <f>('Network TDC'!I11*(1-'Network TDC'!U11)*'Fixed Factors'!$D$4+'Network TDC'!I11*'Network TDC'!U11*'Fixed Factors'!$E$4)+(('Network TDC'!I11*(1-'Network TDC'!U11)*'Fixed Factors'!$D$9+'Network TDC'!I11*'Network TDC'!U11*'Fixed Factors'!$E$9)*'Fixed Factors'!$I$9)</f>
        <v>101521753.55729006</v>
      </c>
      <c r="D11" s="115">
        <f>('Network TDC'!J11*(1-'Network TDC'!V11)*'Fixed Factors'!$D$5+'Network TDC'!J11*'Network TDC'!V11*'Fixed Factors'!$E$5)+(('Network TDC'!J11*(1-'Network TDC'!V11)*'Fixed Factors'!$D$10+'Network TDC'!J11*'Network TDC'!V11*'Fixed Factors'!$E$10)*'Fixed Factors'!$I$8)</f>
        <v>66153992.542200387</v>
      </c>
      <c r="E11" s="115">
        <f>('Network TDC'!K11*(1-'Network TDC'!W11)*'Fixed Factors'!$D$3+'Network TDC'!K11*'Network TDC'!W11*'Fixed Factors'!$E$3)+(('Network TDC'!K11*(1-'Network TDC'!W11)*'Fixed Factors'!$D$8+'Network TDC'!K11*'Network TDC'!W11*'Fixed Factors'!$E$8)*'Fixed Factors'!$I$9)</f>
        <v>25743019.361455321</v>
      </c>
      <c r="F11" s="115">
        <f>('Network TDC'!L11*(1-'Network TDC'!X11)*'Fixed Factors'!$D$4+'Network TDC'!L11*'Network TDC'!X11*'Fixed Factors'!$E$4)+(('Network TDC'!L11*(1-'Network TDC'!X11)*'Fixed Factors'!$D$9+'Network TDC'!L11*'Network TDC'!X11*'Fixed Factors'!$E$9)*'Fixed Factors'!$I$9)</f>
        <v>101119858.25482269</v>
      </c>
      <c r="G11" s="115">
        <f>('Network TDC'!M11*(1-'Network TDC'!Y11)*'Fixed Factors'!$D$5+'Network TDC'!M11*'Network TDC'!Y11*'Fixed Factors'!$E$5)+(('Network TDC'!M11*(1-'Network TDC'!Y11)*'Fixed Factors'!$D$10+'Network TDC'!M11*'Network TDC'!Y11*'Fixed Factors'!$E$10)*'Fixed Factors'!$I$8)</f>
        <v>65838342.779000282</v>
      </c>
      <c r="H11" s="116">
        <f>'Network TDC'!N11*'Fixed Factors'!$I$13*'Fixed Factors'!$C$13</f>
        <v>46643299.405208901</v>
      </c>
      <c r="I11" s="116">
        <f>'Network TDC'!O11*'Fixed Factors'!$I$14*'Fixed Factors'!$C$14</f>
        <v>99975071.93267417</v>
      </c>
      <c r="J11" s="116">
        <f>'Network TDC'!P11*'Fixed Factors'!$I$15*'Fixed Factors'!$C$15</f>
        <v>34839752.512658603</v>
      </c>
      <c r="K11" s="117">
        <f>'Network TDC'!Q11*'Fixed Factors'!$I$13*'Fixed Factors'!$C$13</f>
        <v>45384526.088020489</v>
      </c>
      <c r="L11" s="117">
        <f>'Network TDC'!R11*'Fixed Factors'!$I$14*'Fixed Factors'!$C$14</f>
        <v>97277021.954700515</v>
      </c>
      <c r="M11" s="117">
        <f>'Network TDC'!S11*'Fixed Factors'!$I$15*'Fixed Factors'!$C$15</f>
        <v>32351108.880111147</v>
      </c>
      <c r="N11" s="117">
        <f>'Network TDC'!P11*'Network Shipper-Logistics'!$I$5*'Network Shipper-Logistics'!$I$7*SUMPRODUCT('Network Shipper-Logistics'!$D$6:$D$48,'Network Shipper-Logistics'!$N$6:$N$48)</f>
        <v>201577462.89369315</v>
      </c>
      <c r="O11" s="117">
        <f>'Network TDC'!S11*'Network Shipper-Logistics'!$I$5*'Network Shipper-Logistics'!$I$7*SUMPRODUCT('Network Shipper-Logistics'!$D$6:$D$48,'Network Shipper-Logistics'!$N$6:$N$48)</f>
        <v>187178552.64560252</v>
      </c>
      <c r="P11" s="116">
        <f>'Network TDC'!Z11*'Fixed Factors'!$D$13</f>
        <v>1409194.8245580762</v>
      </c>
      <c r="Q11" s="116">
        <f>'Network TDC'!AA11*'Fixed Factors'!$D$14</f>
        <v>3020462.8692414612</v>
      </c>
      <c r="R11" s="116">
        <f>'Network TDC'!AB11*'Fixed Factors'!$D$15</f>
        <v>2530747.2753112302</v>
      </c>
      <c r="S11" s="116">
        <f>'Network TDC'!AC11*'Fixed Factors'!$D$13</f>
        <v>1371164.5636954491</v>
      </c>
      <c r="T11" s="116">
        <f>'Network TDC'!AD11*'Fixed Factors'!$D$14</f>
        <v>2938948.9516189247</v>
      </c>
      <c r="U11" s="116">
        <f>'Network TDC'!AE11*'Fixed Factors'!$D$15</f>
        <v>2349973.0838182862</v>
      </c>
      <c r="V11" s="117">
        <f>'Network TDC'!AF11*'Fixed Factors'!$G$3</f>
        <v>27179236.705116823</v>
      </c>
      <c r="W11" s="117">
        <f>'Network TDC'!AG11*'Fixed Factors'!$H$3</f>
        <v>22168888.511125393</v>
      </c>
      <c r="X11" s="117">
        <f>'Network TDC'!AH11*'Fixed Factors'!$I$3</f>
        <v>1996901.422642675</v>
      </c>
      <c r="Y11" s="117">
        <f>'Network TDC'!AI11*'Fixed Factors'!$G$3</f>
        <v>27068640.160980001</v>
      </c>
      <c r="Z11" s="117">
        <f>'Network TDC'!AJ11*'Fixed Factors'!$H$3</f>
        <v>22078679.853564993</v>
      </c>
      <c r="AA11" s="117">
        <f>'Network TDC'!AK11*'Fixed Factors'!$I$3</f>
        <v>1988775.7199703625</v>
      </c>
      <c r="AB11" s="117">
        <f>'Network TDC'!H11*'Network TDC'!T11*'Fixed Factors'!$E$29+'Network TDC'!H11*(1-'Network TDC'!T11)*'Fixed Factors'!$D$29</f>
        <v>581342.73369923886</v>
      </c>
      <c r="AC11" s="117">
        <f>'Network TDC'!I11*'Network TDC'!U11*'Fixed Factors'!$E$30+'Network TDC'!I11*(1-'Network TDC'!U11)*'Fixed Factors'!$D$30</f>
        <v>2283954.8180461847</v>
      </c>
      <c r="AD11" s="117">
        <f>'Network TDC'!J11*'Network TDC'!V11*'Fixed Factors'!$E$31+'Network TDC'!J11*(1-'Network TDC'!V11)*'Fixed Factors'!$D$31</f>
        <v>9891129.7098214403</v>
      </c>
      <c r="AE11" s="117">
        <f>'Network TDC'!K11*'Network TDC'!W11*'Fixed Factors'!$E$29+'Network TDC'!K11*(1-'Network TDC'!W11)*'Fixed Factors'!$D$29</f>
        <v>579145.75981464691</v>
      </c>
      <c r="AF11" s="117">
        <f>'Network TDC'!L11*'Network TDC'!X11*'Fixed Factors'!$E$30+'Network TDC'!L11*(1-'Network TDC'!X11)*'Fixed Factors'!$D$30</f>
        <v>2274913.3005363187</v>
      </c>
      <c r="AG11" s="117">
        <f>'Network TDC'!M11*'Network TDC'!Y11*'Fixed Factors'!$E$31+'Network TDC'!M11*(1-'Network TDC'!Y11)*'Fixed Factors'!$D$31</f>
        <v>9843934.7843043599</v>
      </c>
    </row>
    <row r="12" spans="1:33" x14ac:dyDescent="0.25">
      <c r="A12" s="70">
        <f>'Network TDC'!A12</f>
        <v>2027</v>
      </c>
      <c r="B12" s="115">
        <f>('Network TDC'!H12*(1-'Network TDC'!T12)*'Fixed Factors'!$D$3+'Network TDC'!H12*'Network TDC'!T12*'Fixed Factors'!$E$3)+(('Network TDC'!H12*(1-'Network TDC'!T12)*'Fixed Factors'!$D$8+'Network TDC'!H12*'Network TDC'!T12*'Fixed Factors'!$E$8)*'Fixed Factors'!$I$9)</f>
        <v>25844611.853362605</v>
      </c>
      <c r="C12" s="115">
        <f>('Network TDC'!I12*(1-'Network TDC'!U12)*'Fixed Factors'!$D$4+'Network TDC'!I12*'Network TDC'!U12*'Fixed Factors'!$E$4)+(('Network TDC'!I12*(1-'Network TDC'!U12)*'Fixed Factors'!$D$9+'Network TDC'!I12*'Network TDC'!U12*'Fixed Factors'!$E$9)*'Fixed Factors'!$I$9)</f>
        <v>101544770.99595062</v>
      </c>
      <c r="D12" s="115">
        <f>('Network TDC'!J12*(1-'Network TDC'!V12)*'Fixed Factors'!$D$5+'Network TDC'!J12*'Network TDC'!V12*'Fixed Factors'!$E$5)+(('Network TDC'!J12*(1-'Network TDC'!V12)*'Fixed Factors'!$D$10+'Network TDC'!J12*'Network TDC'!V12*'Fixed Factors'!$E$10)*'Fixed Factors'!$I$8)</f>
        <v>67362337.770376027</v>
      </c>
      <c r="E12" s="115">
        <f>('Network TDC'!K12*(1-'Network TDC'!W12)*'Fixed Factors'!$D$3+'Network TDC'!K12*'Network TDC'!W12*'Fixed Factors'!$E$3)+(('Network TDC'!K12*(1-'Network TDC'!W12)*'Fixed Factors'!$D$8+'Network TDC'!K12*'Network TDC'!W12*'Fixed Factors'!$E$8)*'Fixed Factors'!$I$9)</f>
        <v>25744798.196666431</v>
      </c>
      <c r="F12" s="115">
        <f>('Network TDC'!L12*(1-'Network TDC'!X12)*'Fixed Factors'!$D$4+'Network TDC'!L12*'Network TDC'!X12*'Fixed Factors'!$E$4)+(('Network TDC'!L12*(1-'Network TDC'!X12)*'Fixed Factors'!$D$9+'Network TDC'!L12*'Network TDC'!X12*'Fixed Factors'!$E$9)*'Fixed Factors'!$I$9)</f>
        <v>101127461.88783841</v>
      </c>
      <c r="G12" s="115">
        <f>('Network TDC'!M12*(1-'Network TDC'!Y12)*'Fixed Factors'!$D$5+'Network TDC'!M12*'Network TDC'!Y12*'Fixed Factors'!$E$5)+(('Network TDC'!M12*(1-'Network TDC'!Y12)*'Fixed Factors'!$D$10+'Network TDC'!M12*'Network TDC'!Y12*'Fixed Factors'!$E$10)*'Fixed Factors'!$I$8)</f>
        <v>67047945.484609589</v>
      </c>
      <c r="H12" s="116">
        <f>'Network TDC'!N12*'Fixed Factors'!$I$13*'Fixed Factors'!$C$13</f>
        <v>46655502.790952429</v>
      </c>
      <c r="I12" s="116">
        <f>'Network TDC'!O12*'Fixed Factors'!$I$14*'Fixed Factors'!$C$14</f>
        <v>100001228.62362634</v>
      </c>
      <c r="J12" s="116">
        <f>'Network TDC'!P12*'Fixed Factors'!$I$15*'Fixed Factors'!$C$15</f>
        <v>35593226.823927924</v>
      </c>
      <c r="K12" s="117">
        <f>'Network TDC'!Q12*'Fixed Factors'!$I$13*'Fixed Factors'!$C$13</f>
        <v>45407315.144219823</v>
      </c>
      <c r="L12" s="117">
        <f>'Network TDC'!R12*'Fixed Factors'!$I$14*'Fixed Factors'!$C$14</f>
        <v>97325867.931761727</v>
      </c>
      <c r="M12" s="117">
        <f>'Network TDC'!S12*'Fixed Factors'!$I$15*'Fixed Factors'!$C$15</f>
        <v>33023542.991229761</v>
      </c>
      <c r="N12" s="117">
        <f>'Network TDC'!P12*'Network Shipper-Logistics'!$I$5*'Network Shipper-Logistics'!$I$7*SUMPRODUCT('Network Shipper-Logistics'!$D$6:$D$48,'Network Shipper-Logistics'!$N$6:$N$48)</f>
        <v>205936949.66002584</v>
      </c>
      <c r="O12" s="117">
        <f>'Network TDC'!S12*'Network Shipper-Logistics'!$I$5*'Network Shipper-Logistics'!$I$7*SUMPRODUCT('Network Shipper-Logistics'!$D$6:$D$48,'Network Shipper-Logistics'!$N$6:$N$48)</f>
        <v>191069153.2471199</v>
      </c>
      <c r="P12" s="116">
        <f>'Network TDC'!Z12*'Fixed Factors'!$D$13</f>
        <v>1409563.5152007013</v>
      </c>
      <c r="Q12" s="116">
        <f>'Network TDC'!AA12*'Fixed Factors'!$D$14</f>
        <v>3021253.1193735786</v>
      </c>
      <c r="R12" s="116">
        <f>'Network TDC'!AB12*'Fixed Factors'!$D$15</f>
        <v>2585479.3822505376</v>
      </c>
      <c r="S12" s="116">
        <f>'Network TDC'!AC12*'Fixed Factors'!$D$13</f>
        <v>1371853.0703075924</v>
      </c>
      <c r="T12" s="116">
        <f>'Network TDC'!AD12*'Fixed Factors'!$D$14</f>
        <v>2940424.6940932544</v>
      </c>
      <c r="U12" s="116">
        <f>'Network TDC'!AE12*'Fixed Factors'!$D$15</f>
        <v>2398818.4593392937</v>
      </c>
      <c r="V12" s="117">
        <f>'Network TDC'!AF12*'Fixed Factors'!$G$3</f>
        <v>27269863.49157241</v>
      </c>
      <c r="W12" s="117">
        <f>'Network TDC'!AG12*'Fixed Factors'!$H$3</f>
        <v>22242808.729962047</v>
      </c>
      <c r="X12" s="117">
        <f>'Network TDC'!AH12*'Fixed Factors'!$I$3</f>
        <v>2003559.9156962575</v>
      </c>
      <c r="Y12" s="117">
        <f>'Network TDC'!AI12*'Fixed Factors'!$G$3</f>
        <v>27156255.040144216</v>
      </c>
      <c r="Z12" s="117">
        <f>'Network TDC'!AJ12*'Fixed Factors'!$H$3</f>
        <v>22150143.394251604</v>
      </c>
      <c r="AA12" s="117">
        <f>'Network TDC'!AK12*'Fixed Factors'!$I$3</f>
        <v>1995212.9234410084</v>
      </c>
      <c r="AB12" s="117">
        <f>'Network TDC'!H12*'Network TDC'!T12*'Fixed Factors'!$E$29+'Network TDC'!H12*(1-'Network TDC'!T12)*'Fixed Factors'!$D$29</f>
        <v>581431.30604723864</v>
      </c>
      <c r="AC12" s="117">
        <f>'Network TDC'!I12*'Network TDC'!U12*'Fixed Factors'!$E$30+'Network TDC'!I12*(1-'Network TDC'!U12)*'Fixed Factors'!$D$30</f>
        <v>2284472.6458819518</v>
      </c>
      <c r="AD12" s="117">
        <f>'Network TDC'!J12*'Network TDC'!V12*'Fixed Factors'!$E$31+'Network TDC'!J12*(1-'Network TDC'!V12)*'Fixed Factors'!$D$31</f>
        <v>10071797.556565609</v>
      </c>
      <c r="AE12" s="117">
        <f>'Network TDC'!K12*'Network TDC'!W12*'Fixed Factors'!$E$29+'Network TDC'!K12*(1-'Network TDC'!W12)*'Fixed Factors'!$D$29</f>
        <v>579185.77861956868</v>
      </c>
      <c r="AF12" s="117">
        <f>'Network TDC'!L12*'Network TDC'!X12*'Fixed Factors'!$E$30+'Network TDC'!L12*(1-'Network TDC'!X12)*'Fixed Factors'!$D$30</f>
        <v>2275084.3609608328</v>
      </c>
      <c r="AG12" s="117">
        <f>'Network TDC'!M12*'Network TDC'!Y12*'Fixed Factors'!$E$31+'Network TDC'!M12*(1-'Network TDC'!Y12)*'Fixed Factors'!$D$31</f>
        <v>10024790.644982768</v>
      </c>
    </row>
    <row r="13" spans="1:33" x14ac:dyDescent="0.25">
      <c r="A13" s="70">
        <f>'Network TDC'!A13</f>
        <v>2028</v>
      </c>
      <c r="B13" s="115">
        <f>('Network TDC'!H13*(1-'Network TDC'!T13)*'Fixed Factors'!$D$3+'Network TDC'!H13*'Network TDC'!T13*'Fixed Factors'!$E$3)+(('Network TDC'!H13*(1-'Network TDC'!T13)*'Fixed Factors'!$D$8+'Network TDC'!H13*'Network TDC'!T13*'Fixed Factors'!$E$8)*'Fixed Factors'!$I$9)</f>
        <v>25848549.492593817</v>
      </c>
      <c r="C13" s="115">
        <f>('Network TDC'!I13*(1-'Network TDC'!U13)*'Fixed Factors'!$D$4+'Network TDC'!I13*'Network TDC'!U13*'Fixed Factors'!$E$4)+(('Network TDC'!I13*(1-'Network TDC'!U13)*'Fixed Factors'!$D$9+'Network TDC'!I13*'Network TDC'!U13*'Fixed Factors'!$E$9)*'Fixed Factors'!$I$9)</f>
        <v>101567793.65322164</v>
      </c>
      <c r="D13" s="115">
        <f>('Network TDC'!J13*(1-'Network TDC'!V13)*'Fixed Factors'!$D$5+'Network TDC'!J13*'Network TDC'!V13*'Fixed Factors'!$E$5)+(('Network TDC'!J13*(1-'Network TDC'!V13)*'Fixed Factors'!$D$10+'Network TDC'!J13*'Network TDC'!V13*'Fixed Factors'!$E$10)*'Fixed Factors'!$I$8)</f>
        <v>68592754.201427639</v>
      </c>
      <c r="E13" s="115">
        <f>('Network TDC'!K13*(1-'Network TDC'!W13)*'Fixed Factors'!$D$3+'Network TDC'!K13*'Network TDC'!W13*'Fixed Factors'!$E$3)+(('Network TDC'!K13*(1-'Network TDC'!W13)*'Fixed Factors'!$D$8+'Network TDC'!K13*'Network TDC'!W13*'Fixed Factors'!$E$8)*'Fixed Factors'!$I$9)</f>
        <v>25746577.154794544</v>
      </c>
      <c r="F13" s="115">
        <f>('Network TDC'!L13*(1-'Network TDC'!X13)*'Fixed Factors'!$D$4+'Network TDC'!L13*'Network TDC'!X13*'Fixed Factors'!$E$4)+(('Network TDC'!L13*(1-'Network TDC'!X13)*'Fixed Factors'!$D$9+'Network TDC'!L13*'Network TDC'!X13*'Fixed Factors'!$E$9)*'Fixed Factors'!$I$9)</f>
        <v>101135066.09260373</v>
      </c>
      <c r="G13" s="115">
        <f>('Network TDC'!M13*(1-'Network TDC'!Y13)*'Fixed Factors'!$D$5+'Network TDC'!M13*'Network TDC'!Y13*'Fixed Factors'!$E$5)+(('Network TDC'!M13*(1-'Network TDC'!Y13)*'Fixed Factors'!$D$10+'Network TDC'!M13*'Network TDC'!Y13*'Fixed Factors'!$E$10)*'Fixed Factors'!$I$8)</f>
        <v>68279771.390920177</v>
      </c>
      <c r="H13" s="116">
        <f>'Network TDC'!N13*'Fixed Factors'!$I$13*'Fixed Factors'!$C$13</f>
        <v>46667709.36949376</v>
      </c>
      <c r="I13" s="116">
        <f>'Network TDC'!O13*'Fixed Factors'!$I$14*'Fixed Factors'!$C$14</f>
        <v>100027392.15800926</v>
      </c>
      <c r="J13" s="116">
        <f>'Network TDC'!P13*'Fixed Factors'!$I$15*'Fixed Factors'!$C$15</f>
        <v>36362996.415639795</v>
      </c>
      <c r="K13" s="117">
        <f>'Network TDC'!Q13*'Fixed Factors'!$I$13*'Fixed Factors'!$C$13</f>
        <v>45430115.643550262</v>
      </c>
      <c r="L13" s="117">
        <f>'Network TDC'!R13*'Fixed Factors'!$I$14*'Fixed Factors'!$C$14</f>
        <v>97374738.435986966</v>
      </c>
      <c r="M13" s="117">
        <f>'Network TDC'!S13*'Fixed Factors'!$I$15*'Fixed Factors'!$C$15</f>
        <v>33709953.984422855</v>
      </c>
      <c r="N13" s="117">
        <f>'Network TDC'!P13*'Network Shipper-Logistics'!$I$5*'Network Shipper-Logistics'!$I$7*SUMPRODUCT('Network Shipper-Logistics'!$D$6:$D$48,'Network Shipper-Logistics'!$N$6:$N$48)</f>
        <v>210390718.41896331</v>
      </c>
      <c r="O13" s="117">
        <f>'Network TDC'!S13*'Network Shipper-Logistics'!$I$5*'Network Shipper-Logistics'!$I$7*SUMPRODUCT('Network Shipper-Logistics'!$D$6:$D$48,'Network Shipper-Logistics'!$N$6:$N$48)</f>
        <v>195040621.943975</v>
      </c>
      <c r="P13" s="116">
        <f>'Network TDC'!Z13*'Fixed Factors'!$D$13</f>
        <v>1409932.3023046446</v>
      </c>
      <c r="Q13" s="116">
        <f>'Network TDC'!AA13*'Fixed Factors'!$D$14</f>
        <v>3022043.5762605211</v>
      </c>
      <c r="R13" s="116">
        <f>'Network TDC'!AB13*'Fixed Factors'!$D$15</f>
        <v>2641395.1725861444</v>
      </c>
      <c r="S13" s="116">
        <f>'Network TDC'!AC13*'Fixed Factors'!$D$13</f>
        <v>1372541.9226414436</v>
      </c>
      <c r="T13" s="116">
        <f>'Network TDC'!AD13*'Fixed Factors'!$D$14</f>
        <v>2941901.1775861885</v>
      </c>
      <c r="U13" s="116">
        <f>'Network TDC'!AE13*'Fixed Factors'!$D$15</f>
        <v>2448679.1106207841</v>
      </c>
      <c r="V13" s="117">
        <f>'Network TDC'!AF13*'Fixed Factors'!$G$3</f>
        <v>27362059.76866737</v>
      </c>
      <c r="W13" s="117">
        <f>'Network TDC'!AG13*'Fixed Factors'!$H$3</f>
        <v>22318009.112159468</v>
      </c>
      <c r="X13" s="117">
        <f>'Network TDC'!AH13*'Fixed Factors'!$I$3</f>
        <v>2010333.7217045263</v>
      </c>
      <c r="Y13" s="117">
        <f>'Network TDC'!AI13*'Fixed Factors'!$G$3</f>
        <v>27245449.307200111</v>
      </c>
      <c r="Z13" s="117">
        <f>'Network TDC'!AJ13*'Fixed Factors'!$H$3</f>
        <v>22222895.171045303</v>
      </c>
      <c r="AA13" s="117">
        <f>'Network TDC'!AK13*'Fixed Factors'!$I$3</f>
        <v>2001766.1670330903</v>
      </c>
      <c r="AB13" s="117">
        <f>'Network TDC'!H13*'Network TDC'!T13*'Fixed Factors'!$E$29+'Network TDC'!H13*(1-'Network TDC'!T13)*'Fixed Factors'!$D$29</f>
        <v>581519.89188996423</v>
      </c>
      <c r="AC13" s="117">
        <f>'Network TDC'!I13*'Network TDC'!U13*'Fixed Factors'!$E$30+'Network TDC'!I13*(1-'Network TDC'!U13)*'Fixed Factors'!$D$30</f>
        <v>2284990.5911218226</v>
      </c>
      <c r="AD13" s="117">
        <f>'Network TDC'!J13*'Network TDC'!V13*'Fixed Factors'!$E$31+'Network TDC'!J13*(1-'Network TDC'!V13)*'Fixed Factors'!$D$31</f>
        <v>10255765.417747434</v>
      </c>
      <c r="AE13" s="117">
        <f>'Network TDC'!K13*'Network TDC'!W13*'Fixed Factors'!$E$29+'Network TDC'!K13*(1-'Network TDC'!W13)*'Fixed Factors'!$D$29</f>
        <v>579225.80018977844</v>
      </c>
      <c r="AF13" s="117">
        <f>'Network TDC'!L13*'Network TDC'!X13*'Fixed Factors'!$E$30+'Network TDC'!L13*(1-'Network TDC'!X13)*'Fixed Factors'!$D$30</f>
        <v>2275255.4342481098</v>
      </c>
      <c r="AG13" s="117">
        <f>'Network TDC'!M13*'Network TDC'!Y13*'Fixed Factors'!$E$31+'Network TDC'!M13*(1-'Network TDC'!Y13)*'Fixed Factors'!$D$31</f>
        <v>10208969.246319098</v>
      </c>
    </row>
    <row r="14" spans="1:33" x14ac:dyDescent="0.25">
      <c r="A14" s="70">
        <f>'Network TDC'!A14</f>
        <v>2029</v>
      </c>
      <c r="B14" s="115">
        <f>('Network TDC'!H14*(1-'Network TDC'!T14)*'Fixed Factors'!$D$3+'Network TDC'!H14*'Network TDC'!T14*'Fixed Factors'!$E$3)+(('Network TDC'!H14*(1-'Network TDC'!T14)*'Fixed Factors'!$D$8+'Network TDC'!H14*'Network TDC'!T14*'Fixed Factors'!$E$8)*'Fixed Factors'!$I$9)</f>
        <v>25852487.731756754</v>
      </c>
      <c r="C14" s="115">
        <f>('Network TDC'!I14*(1-'Network TDC'!U14)*'Fixed Factors'!$D$4+'Network TDC'!I14*'Network TDC'!U14*'Fixed Factors'!$E$4)+(('Network TDC'!I14*(1-'Network TDC'!U14)*'Fixed Factors'!$D$9+'Network TDC'!I14*'Network TDC'!U14*'Fixed Factors'!$E$9)*'Fixed Factors'!$I$9)</f>
        <v>101590821.53028627</v>
      </c>
      <c r="D14" s="115">
        <f>('Network TDC'!J14*(1-'Network TDC'!V14)*'Fixed Factors'!$D$5+'Network TDC'!J14*'Network TDC'!V14*'Fixed Factors'!$E$5)+(('Network TDC'!J14*(1-'Network TDC'!V14)*'Fixed Factors'!$D$10+'Network TDC'!J14*'Network TDC'!V14*'Fixed Factors'!$E$10)*'Fixed Factors'!$I$8)</f>
        <v>69845644.980073333</v>
      </c>
      <c r="E14" s="115">
        <f>('Network TDC'!K14*(1-'Network TDC'!W14)*'Fixed Factors'!$D$3+'Network TDC'!K14*'Network TDC'!W14*'Fixed Factors'!$E$3)+(('Network TDC'!K14*(1-'Network TDC'!W14)*'Fixed Factors'!$D$8+'Network TDC'!K14*'Network TDC'!W14*'Fixed Factors'!$E$8)*'Fixed Factors'!$I$9)</f>
        <v>25748356.235848151</v>
      </c>
      <c r="F14" s="115">
        <f>('Network TDC'!L14*(1-'Network TDC'!X14)*'Fixed Factors'!$D$4+'Network TDC'!L14*'Network TDC'!X14*'Fixed Factors'!$E$4)+(('Network TDC'!L14*(1-'Network TDC'!X14)*'Fixed Factors'!$D$9+'Network TDC'!L14*'Network TDC'!X14*'Fixed Factors'!$E$9)*'Fixed Factors'!$I$9)</f>
        <v>101142670.86916158</v>
      </c>
      <c r="G14" s="115">
        <f>('Network TDC'!M14*(1-'Network TDC'!Y14)*'Fixed Factors'!$D$5+'Network TDC'!M14*'Network TDC'!Y14*'Fixed Factors'!$E$5)+(('Network TDC'!M14*(1-'Network TDC'!Y14)*'Fixed Factors'!$D$10+'Network TDC'!M14*'Network TDC'!Y14*'Fixed Factors'!$E$10)*'Fixed Factors'!$I$8)</f>
        <v>69534228.789553031</v>
      </c>
      <c r="H14" s="116">
        <f>'Network TDC'!N14*'Fixed Factors'!$I$13*'Fixed Factors'!$C$13</f>
        <v>46679919.14166823</v>
      </c>
      <c r="I14" s="116">
        <f>'Network TDC'!O14*'Fixed Factors'!$I$14*'Fixed Factors'!$C$14</f>
        <v>100053562.53761341</v>
      </c>
      <c r="J14" s="116">
        <f>'Network TDC'!P14*'Fixed Factors'!$I$15*'Fixed Factors'!$C$15</f>
        <v>37149413.703478098</v>
      </c>
      <c r="K14" s="117">
        <f>'Network TDC'!Q14*'Fixed Factors'!$I$13*'Fixed Factors'!$C$13</f>
        <v>45452927.591757782</v>
      </c>
      <c r="L14" s="117">
        <f>'Network TDC'!R14*'Fixed Factors'!$I$14*'Fixed Factors'!$C$14</f>
        <v>97423633.479692146</v>
      </c>
      <c r="M14" s="117">
        <f>'Network TDC'!S14*'Fixed Factors'!$I$15*'Fixed Factors'!$C$15</f>
        <v>34410632.376232184</v>
      </c>
      <c r="N14" s="117">
        <f>'Network TDC'!P14*'Network Shipper-Logistics'!$I$5*'Network Shipper-Logistics'!$I$7*SUMPRODUCT('Network Shipper-Logistics'!$D$6:$D$48,'Network Shipper-Logistics'!$N$6:$N$48)</f>
        <v>214940808.19358462</v>
      </c>
      <c r="O14" s="117">
        <f>'Network TDC'!S14*'Network Shipper-Logistics'!$I$5*'Network Shipper-Logistics'!$I$7*SUMPRODUCT('Network Shipper-Logistics'!$D$6:$D$48,'Network Shipper-Logistics'!$N$6:$N$48)</f>
        <v>199094639.62030724</v>
      </c>
      <c r="P14" s="116">
        <f>'Network TDC'!Z14*'Fixed Factors'!$D$13</f>
        <v>1410301.1858951433</v>
      </c>
      <c r="Q14" s="116">
        <f>'Network TDC'!AA14*'Fixed Factors'!$D$14</f>
        <v>3022834.2399563827</v>
      </c>
      <c r="R14" s="116">
        <f>'Network TDC'!AB14*'Fixed Factors'!$D$15</f>
        <v>2698520.2456684327</v>
      </c>
      <c r="S14" s="116">
        <f>'Network TDC'!AC14*'Fixed Factors'!$D$13</f>
        <v>1373231.1208706009</v>
      </c>
      <c r="T14" s="116">
        <f>'Network TDC'!AD14*'Fixed Factors'!$D$14</f>
        <v>2943378.4024698166</v>
      </c>
      <c r="U14" s="116">
        <f>'Network TDC'!AE14*'Fixed Factors'!$D$15</f>
        <v>2499576.140681392</v>
      </c>
      <c r="V14" s="117">
        <f>'Network TDC'!AF14*'Fixed Factors'!$G$3</f>
        <v>27455854.185625911</v>
      </c>
      <c r="W14" s="117">
        <f>'Network TDC'!AG14*'Fixed Factors'!$H$3</f>
        <v>22394513.025609273</v>
      </c>
      <c r="X14" s="117">
        <f>'Network TDC'!AH14*'Fixed Factors'!$I$3</f>
        <v>2017224.945571207</v>
      </c>
      <c r="Y14" s="117">
        <f>'Network TDC'!AI14*'Fixed Factors'!$G$3</f>
        <v>27336251.976914544</v>
      </c>
      <c r="Z14" s="117">
        <f>'Network TDC'!AJ14*'Fixed Factors'!$H$3</f>
        <v>22296958.849994488</v>
      </c>
      <c r="AA14" s="117">
        <f>'Network TDC'!AK14*'Fixed Factors'!$I$3</f>
        <v>2008437.5825073288</v>
      </c>
      <c r="AB14" s="117">
        <f>'Network TDC'!H14*'Network TDC'!T14*'Fixed Factors'!$E$29+'Network TDC'!H14*(1-'Network TDC'!T14)*'Fixed Factors'!$D$29</f>
        <v>581608.49122947175</v>
      </c>
      <c r="AC14" s="117">
        <f>'Network TDC'!I14*'Network TDC'!U14*'Fixed Factors'!$E$30+'Network TDC'!I14*(1-'Network TDC'!U14)*'Fixed Factors'!$D$30</f>
        <v>2285508.6537924153</v>
      </c>
      <c r="AD14" s="117">
        <f>'Network TDC'!J14*'Network TDC'!V14*'Fixed Factors'!$E$31+'Network TDC'!J14*(1-'Network TDC'!V14)*'Fixed Factors'!$D$31</f>
        <v>10443093.570253398</v>
      </c>
      <c r="AE14" s="117">
        <f>'Network TDC'!K14*'Network TDC'!W14*'Fixed Factors'!$E$29+'Network TDC'!K14*(1-'Network TDC'!W14)*'Fixed Factors'!$D$29</f>
        <v>579265.82452546712</v>
      </c>
      <c r="AF14" s="117">
        <f>'Network TDC'!L14*'Network TDC'!X14*'Fixed Factors'!$E$30+'Network TDC'!L14*(1-'Network TDC'!X14)*'Fixed Factors'!$D$30</f>
        <v>2275426.5203991155</v>
      </c>
      <c r="AG14" s="117">
        <f>'Network TDC'!M14*'Network TDC'!Y14*'Fixed Factors'!$E$31+'Network TDC'!M14*(1-'Network TDC'!Y14)*'Fixed Factors'!$D$31</f>
        <v>10396531.634747997</v>
      </c>
    </row>
    <row r="15" spans="1:33" x14ac:dyDescent="0.25">
      <c r="A15" s="70">
        <f>'Network TDC'!A15</f>
        <v>2030</v>
      </c>
      <c r="B15" s="115">
        <f>('Network TDC'!H15*(1-'Network TDC'!T15)*'Fixed Factors'!$D$3+'Network TDC'!H15*'Network TDC'!T15*'Fixed Factors'!$E$3)+(('Network TDC'!H15*(1-'Network TDC'!T15)*'Fixed Factors'!$D$8+'Network TDC'!H15*'Network TDC'!T15*'Fixed Factors'!$E$8)*'Fixed Factors'!$I$9)</f>
        <v>25856426.570942834</v>
      </c>
      <c r="C15" s="115">
        <f>('Network TDC'!I15*(1-'Network TDC'!U15)*'Fixed Factors'!$D$4+'Network TDC'!I15*'Network TDC'!U15*'Fixed Factors'!$E$4)+(('Network TDC'!I15*(1-'Network TDC'!U15)*'Fixed Factors'!$D$9+'Network TDC'!I15*'Network TDC'!U15*'Fixed Factors'!$E$9)*'Fixed Factors'!$I$9)</f>
        <v>101613854.628328</v>
      </c>
      <c r="D15" s="115">
        <f>('Network TDC'!J15*(1-'Network TDC'!V15)*'Fixed Factors'!$D$5+'Network TDC'!J15*'Network TDC'!V15*'Fixed Factors'!$E$5)+(('Network TDC'!J15*(1-'Network TDC'!V15)*'Fixed Factors'!$D$10+'Network TDC'!J15*'Network TDC'!V15*'Fixed Factors'!$E$10)*'Fixed Factors'!$I$8)</f>
        <v>71121420.614728838</v>
      </c>
      <c r="E15" s="115">
        <f>('Network TDC'!K15*(1-'Network TDC'!W15)*'Fixed Factors'!$D$3+'Network TDC'!K15*'Network TDC'!W15*'Fixed Factors'!$E$3)+(('Network TDC'!K15*(1-'Network TDC'!W15)*'Fixed Factors'!$D$8+'Network TDC'!K15*'Network TDC'!W15*'Fixed Factors'!$E$8)*'Fixed Factors'!$I$9)</f>
        <v>25750135.439835742</v>
      </c>
      <c r="F15" s="115">
        <f>('Network TDC'!L15*(1-'Network TDC'!X15)*'Fixed Factors'!$D$4+'Network TDC'!L15*'Network TDC'!X15*'Fixed Factors'!$E$4)+(('Network TDC'!L15*(1-'Network TDC'!X15)*'Fixed Factors'!$D$9+'Network TDC'!L15*'Network TDC'!X15*'Fixed Factors'!$E$9)*'Fixed Factors'!$I$9)</f>
        <v>101150276.21755497</v>
      </c>
      <c r="G15" s="115">
        <f>('Network TDC'!M15*(1-'Network TDC'!Y15)*'Fixed Factors'!$D$5+'Network TDC'!M15*'Network TDC'!Y15*'Fixed Factors'!$E$5)+(('Network TDC'!M15*(1-'Network TDC'!Y15)*'Fixed Factors'!$D$10+'Network TDC'!M15*'Network TDC'!Y15*'Fixed Factors'!$E$10)*'Fixed Factors'!$I$8)</f>
        <v>70811733.473390952</v>
      </c>
      <c r="H15" s="116">
        <f>'Network TDC'!N15*'Fixed Factors'!$I$13*'Fixed Factors'!$C$13</f>
        <v>46692132.108311385</v>
      </c>
      <c r="I15" s="116">
        <f>'Network TDC'!O15*'Fixed Factors'!$I$14*'Fixed Factors'!$C$14</f>
        <v>100079739.76422969</v>
      </c>
      <c r="J15" s="116">
        <f>'Network TDC'!P15*'Fixed Factors'!$I$15*'Fixed Factors'!$C$15</f>
        <v>37952838.724769995</v>
      </c>
      <c r="K15" s="117">
        <f>'Network TDC'!Q15*'Fixed Factors'!$I$13*'Fixed Factors'!$C$13</f>
        <v>45475750.994591251</v>
      </c>
      <c r="L15" s="117">
        <f>'Network TDC'!R15*'Fixed Factors'!$I$14*'Fixed Factors'!$C$14</f>
        <v>97472553.075199351</v>
      </c>
      <c r="M15" s="117">
        <f>'Network TDC'!S15*'Fixed Factors'!$I$15*'Fixed Factors'!$C$15</f>
        <v>35125874.721732326</v>
      </c>
      <c r="N15" s="117">
        <f>'Network TDC'!P15*'Network Shipper-Logistics'!$I$5*'Network Shipper-Logistics'!$I$7*SUMPRODUCT('Network Shipper-Logistics'!$D$6:$D$48,'Network Shipper-Logistics'!$N$6:$N$48)</f>
        <v>219589302.10462743</v>
      </c>
      <c r="O15" s="117">
        <f>'Network TDC'!S15*'Network Shipper-Logistics'!$I$5*'Network Shipper-Logistics'!$I$7*SUMPRODUCT('Network Shipper-Logistics'!$D$6:$D$48,'Network Shipper-Logistics'!$N$6:$N$48)</f>
        <v>203232922.09828028</v>
      </c>
      <c r="P15" s="116">
        <f>'Network TDC'!Z15*'Fixed Factors'!$D$13</f>
        <v>1410670.1659974412</v>
      </c>
      <c r="Q15" s="116">
        <f>'Network TDC'!AA15*'Fixed Factors'!$D$14</f>
        <v>3023625.1105152699</v>
      </c>
      <c r="R15" s="116">
        <f>'Network TDC'!AB15*'Fixed Factors'!$D$15</f>
        <v>2756880.7544812481</v>
      </c>
      <c r="S15" s="116">
        <f>'Network TDC'!AC15*'Fixed Factors'!$D$13</f>
        <v>1373920.6651687499</v>
      </c>
      <c r="T15" s="116">
        <f>'Network TDC'!AD15*'Fixed Factors'!$D$14</f>
        <v>2944856.3691164148</v>
      </c>
      <c r="U15" s="116">
        <f>'Network TDC'!AE15*'Fixed Factors'!$D$15</f>
        <v>2551531.0911766342</v>
      </c>
      <c r="V15" s="117">
        <f>'Network TDC'!AF15*'Fixed Factors'!$G$3</f>
        <v>27551275.914964691</v>
      </c>
      <c r="W15" s="117">
        <f>'Network TDC'!AG15*'Fixed Factors'!$H$3</f>
        <v>22472344.265029322</v>
      </c>
      <c r="X15" s="117">
        <f>'Network TDC'!AH15*'Fixed Factors'!$I$3</f>
        <v>2024235.7306471455</v>
      </c>
      <c r="Y15" s="117">
        <f>'Network TDC'!AI15*'Fixed Factors'!$G$3</f>
        <v>27428692.597122625</v>
      </c>
      <c r="Z15" s="117">
        <f>'Network TDC'!AJ15*'Fixed Factors'!$H$3</f>
        <v>22372358.531947531</v>
      </c>
      <c r="AA15" s="117">
        <f>'Network TDC'!AK15*'Fixed Factors'!$I$3</f>
        <v>2015229.3407898098</v>
      </c>
      <c r="AB15" s="117">
        <f>'Network TDC'!H15*'Network TDC'!T15*'Fixed Factors'!$E$29+'Network TDC'!H15*(1-'Network TDC'!T15)*'Fixed Factors'!$D$29</f>
        <v>581697.10406781745</v>
      </c>
      <c r="AC15" s="117">
        <f>'Network TDC'!I15*'Network TDC'!U15*'Fixed Factors'!$E$30+'Network TDC'!I15*(1-'Network TDC'!U15)*'Fixed Factors'!$D$30</f>
        <v>2286026.8339203545</v>
      </c>
      <c r="AD15" s="117">
        <f>'Network TDC'!J15*'Network TDC'!V15*'Fixed Factors'!$E$31+'Network TDC'!J15*(1-'Network TDC'!V15)*'Fixed Factors'!$D$31</f>
        <v>10633843.39196609</v>
      </c>
      <c r="AE15" s="117">
        <f>'Network TDC'!K15*'Network TDC'!W15*'Fixed Factors'!$E$29+'Network TDC'!K15*(1-'Network TDC'!W15)*'Fixed Factors'!$D$29</f>
        <v>579305.85162682587</v>
      </c>
      <c r="AF15" s="117">
        <f>'Network TDC'!L15*'Network TDC'!X15*'Fixed Factors'!$E$30+'Network TDC'!L15*(1-'Network TDC'!X15)*'Fixed Factors'!$D$30</f>
        <v>2275597.619414818</v>
      </c>
      <c r="AG15" s="117">
        <f>'Network TDC'!M15*'Network TDC'!Y15*'Fixed Factors'!$E$31+'Network TDC'!M15*(1-'Network TDC'!Y15)*'Fixed Factors'!$D$31</f>
        <v>10587539.978268377</v>
      </c>
    </row>
    <row r="16" spans="1:33" x14ac:dyDescent="0.25">
      <c r="A16" s="70">
        <f>'Network TDC'!A16</f>
        <v>2031</v>
      </c>
      <c r="B16" s="115">
        <f>('Network TDC'!H16*(1-'Network TDC'!T16)*'Fixed Factors'!$D$3+'Network TDC'!H16*'Network TDC'!T16*'Fixed Factors'!$E$3)+(('Network TDC'!H16*(1-'Network TDC'!T16)*'Fixed Factors'!$D$8+'Network TDC'!H16*'Network TDC'!T16*'Fixed Factors'!$E$8)*'Fixed Factors'!$I$9)</f>
        <v>25860366.010243468</v>
      </c>
      <c r="C16" s="115">
        <f>('Network TDC'!I16*(1-'Network TDC'!U16)*'Fixed Factors'!$D$4+'Network TDC'!I16*'Network TDC'!U16*'Fixed Factors'!$E$4)+(('Network TDC'!I16*(1-'Network TDC'!U16)*'Fixed Factors'!$D$9+'Network TDC'!I16*'Network TDC'!U16*'Fixed Factors'!$E$9)*'Fixed Factors'!$I$9)</f>
        <v>101636892.94853048</v>
      </c>
      <c r="D16" s="115">
        <f>('Network TDC'!J16*(1-'Network TDC'!V16)*'Fixed Factors'!$D$5+'Network TDC'!J16*'Network TDC'!V16*'Fixed Factors'!$E$5)+(('Network TDC'!J16*(1-'Network TDC'!V16)*'Fixed Factors'!$D$10+'Network TDC'!J16*'Network TDC'!V16*'Fixed Factors'!$E$10)*'Fixed Factors'!$I$8)</f>
        <v>72420499.112010151</v>
      </c>
      <c r="E16" s="115">
        <f>('Network TDC'!K16*(1-'Network TDC'!W16)*'Fixed Factors'!$D$3+'Network TDC'!K16*'Network TDC'!W16*'Fixed Factors'!$E$3)+(('Network TDC'!K16*(1-'Network TDC'!W16)*'Fixed Factors'!$D$8+'Network TDC'!K16*'Network TDC'!W16*'Fixed Factors'!$E$8)*'Fixed Factors'!$I$9)</f>
        <v>25751914.766765822</v>
      </c>
      <c r="F16" s="115">
        <f>('Network TDC'!L16*(1-'Network TDC'!X16)*'Fixed Factors'!$D$4+'Network TDC'!L16*'Network TDC'!X16*'Fixed Factors'!$E$4)+(('Network TDC'!L16*(1-'Network TDC'!X16)*'Fixed Factors'!$D$9+'Network TDC'!L16*'Network TDC'!X16*'Fixed Factors'!$E$9)*'Fixed Factors'!$I$9)</f>
        <v>101157882.13782696</v>
      </c>
      <c r="G16" s="115">
        <f>('Network TDC'!M16*(1-'Network TDC'!Y16)*'Fixed Factors'!$D$5+'Network TDC'!M16*'Network TDC'!Y16*'Fixed Factors'!$E$5)+(('Network TDC'!M16*(1-'Network TDC'!Y16)*'Fixed Factors'!$D$10+'Network TDC'!M16*'Network TDC'!Y16*'Fixed Factors'!$E$10)*'Fixed Factors'!$I$8)</f>
        <v>72112708.874394223</v>
      </c>
      <c r="H16" s="116">
        <f>'Network TDC'!N16*'Fixed Factors'!$I$13*'Fixed Factors'!$C$13</f>
        <v>46704348.270259023</v>
      </c>
      <c r="I16" s="116">
        <f>'Network TDC'!O16*'Fixed Factors'!$I$14*'Fixed Factors'!$C$14</f>
        <v>100105923.83964951</v>
      </c>
      <c r="J16" s="116">
        <f>'Network TDC'!P16*'Fixed Factors'!$I$15*'Fixed Factors'!$C$15</f>
        <v>38773639.303318061</v>
      </c>
      <c r="K16" s="117">
        <f>'Network TDC'!Q16*'Fixed Factors'!$I$13*'Fixed Factors'!$C$13</f>
        <v>45498585.857802391</v>
      </c>
      <c r="L16" s="117">
        <f>'Network TDC'!R16*'Fixed Factors'!$I$14*'Fixed Factors'!$C$14</f>
        <v>97521497.234836817</v>
      </c>
      <c r="M16" s="117">
        <f>'Network TDC'!S16*'Fixed Factors'!$I$15*'Fixed Factors'!$C$15</f>
        <v>35855983.740044609</v>
      </c>
      <c r="N16" s="117">
        <f>'Network TDC'!P16*'Network Shipper-Logistics'!$I$5*'Network Shipper-Logistics'!$I$7*SUMPRODUCT('Network Shipper-Logistics'!$D$6:$D$48,'Network Shipper-Logistics'!$N$6:$N$48)</f>
        <v>224338328.32418165</v>
      </c>
      <c r="O16" s="117">
        <f>'Network TDC'!S16*'Network Shipper-Logistics'!$I$5*'Network Shipper-Logistics'!$I$7*SUMPRODUCT('Network Shipper-Logistics'!$D$6:$D$48,'Network Shipper-Logistics'!$N$6:$N$48)</f>
        <v>207457220.86428675</v>
      </c>
      <c r="P16" s="116">
        <f>'Network TDC'!Z16*'Fixed Factors'!$D$13</f>
        <v>1411039.2426367886</v>
      </c>
      <c r="Q16" s="116">
        <f>'Network TDC'!AA16*'Fixed Factors'!$D$14</f>
        <v>3024416.1879913053</v>
      </c>
      <c r="R16" s="116">
        <f>'Network TDC'!AB16*'Fixed Factors'!$D$15</f>
        <v>2816503.4176152549</v>
      </c>
      <c r="S16" s="116">
        <f>'Network TDC'!AC16*'Fixed Factors'!$D$13</f>
        <v>1374610.5557096631</v>
      </c>
      <c r="T16" s="116">
        <f>'Network TDC'!AD16*'Fixed Factors'!$D$14</f>
        <v>2946335.0778984474</v>
      </c>
      <c r="U16" s="116">
        <f>'Network TDC'!AE16*'Fixed Factors'!$D$15</f>
        <v>2604565.9515162027</v>
      </c>
      <c r="V16" s="117">
        <f>'Network TDC'!AF16*'Fixed Factors'!$G$3</f>
        <v>27648354.662051089</v>
      </c>
      <c r="W16" s="117">
        <f>'Network TDC'!AG16*'Fixed Factors'!$H$3</f>
        <v>22551527.059760015</v>
      </c>
      <c r="X16" s="117">
        <f>'Network TDC'!AH16*'Fixed Factors'!$I$3</f>
        <v>2031368.2594325733</v>
      </c>
      <c r="Y16" s="117">
        <f>'Network TDC'!AI16*'Fixed Factors'!$G$3</f>
        <v>27522801.2585214</v>
      </c>
      <c r="Z16" s="117">
        <f>'Network TDC'!AJ16*'Fixed Factors'!$H$3</f>
        <v>22449118.760540999</v>
      </c>
      <c r="AA16" s="117">
        <f>'Network TDC'!AK16*'Fixed Factors'!$I$3</f>
        <v>2022143.6526915433</v>
      </c>
      <c r="AB16" s="117">
        <f>'Network TDC'!H16*'Network TDC'!T16*'Fixed Factors'!$E$29+'Network TDC'!H16*(1-'Network TDC'!T16)*'Fixed Factors'!$D$29</f>
        <v>581785.73040705814</v>
      </c>
      <c r="AC16" s="117">
        <f>'Network TDC'!I16*'Network TDC'!U16*'Fixed Factors'!$E$30+'Network TDC'!I16*(1-'Network TDC'!U16)*'Fixed Factors'!$D$30</f>
        <v>2286545.1315322695</v>
      </c>
      <c r="AD16" s="117">
        <f>'Network TDC'!J16*'Network TDC'!V16*'Fixed Factors'!$E$31+'Network TDC'!J16*(1-'Network TDC'!V16)*'Fixed Factors'!$D$31</f>
        <v>10828077.381874599</v>
      </c>
      <c r="AE16" s="117">
        <f>'Network TDC'!K16*'Network TDC'!W16*'Fixed Factors'!$E$29+'Network TDC'!K16*(1-'Network TDC'!W16)*'Fixed Factors'!$D$29</f>
        <v>579345.88149404572</v>
      </c>
      <c r="AF16" s="117">
        <f>'Network TDC'!L16*'Network TDC'!X16*'Fixed Factors'!$E$30+'Network TDC'!L16*(1-'Network TDC'!X16)*'Fixed Factors'!$D$30</f>
        <v>2275768.7312961849</v>
      </c>
      <c r="AG16" s="117">
        <f>'Network TDC'!M16*'Network TDC'!Y16*'Fixed Factors'!$E$31+'Network TDC'!M16*(1-'Network TDC'!Y16)*'Fixed Factors'!$D$31</f>
        <v>10782057.587049155</v>
      </c>
    </row>
    <row r="17" spans="1:33" x14ac:dyDescent="0.25">
      <c r="A17" s="70">
        <f>'Network TDC'!A17</f>
        <v>2032</v>
      </c>
      <c r="B17" s="115">
        <f>('Network TDC'!H17*(1-'Network TDC'!T17)*'Fixed Factors'!$D$3+'Network TDC'!H17*'Network TDC'!T17*'Fixed Factors'!$E$3)+(('Network TDC'!H17*(1-'Network TDC'!T17)*'Fixed Factors'!$D$8+'Network TDC'!H17*'Network TDC'!T17*'Fixed Factors'!$E$8)*'Fixed Factors'!$I$9)</f>
        <v>25864306.049750082</v>
      </c>
      <c r="C17" s="115">
        <f>('Network TDC'!I17*(1-'Network TDC'!U17)*'Fixed Factors'!$D$4+'Network TDC'!I17*'Network TDC'!U17*'Fixed Factors'!$E$4)+(('Network TDC'!I17*(1-'Network TDC'!U17)*'Fixed Factors'!$D$9+'Network TDC'!I17*'Network TDC'!U17*'Fixed Factors'!$E$9)*'Fixed Factors'!$I$9)</f>
        <v>101659936.49207778</v>
      </c>
      <c r="D17" s="115">
        <f>('Network TDC'!J17*(1-'Network TDC'!V17)*'Fixed Factors'!$D$5+'Network TDC'!J17*'Network TDC'!V17*'Fixed Factors'!$E$5)+(('Network TDC'!J17*(1-'Network TDC'!V17)*'Fixed Factors'!$D$10+'Network TDC'!J17*'Network TDC'!V17*'Fixed Factors'!$E$10)*'Fixed Factors'!$I$8)</f>
        <v>73743306.113692969</v>
      </c>
      <c r="E17" s="115">
        <f>('Network TDC'!K17*(1-'Network TDC'!W17)*'Fixed Factors'!$D$3+'Network TDC'!K17*'Network TDC'!W17*'Fixed Factors'!$E$3)+(('Network TDC'!K17*(1-'Network TDC'!W17)*'Fixed Factors'!$D$8+'Network TDC'!K17*'Network TDC'!W17*'Fixed Factors'!$E$8)*'Fixed Factors'!$I$9)</f>
        <v>25753694.216646872</v>
      </c>
      <c r="F17" s="115">
        <f>('Network TDC'!L17*(1-'Network TDC'!X17)*'Fixed Factors'!$D$4+'Network TDC'!L17*'Network TDC'!X17*'Fixed Factors'!$E$4)+(('Network TDC'!L17*(1-'Network TDC'!X17)*'Fixed Factors'!$D$9+'Network TDC'!L17*'Network TDC'!X17*'Fixed Factors'!$E$9)*'Fixed Factors'!$I$9)</f>
        <v>101165488.63002048</v>
      </c>
      <c r="G17" s="115">
        <f>('Network TDC'!M17*(1-'Network TDC'!Y17)*'Fixed Factors'!$D$5+'Network TDC'!M17*'Network TDC'!Y17*'Fixed Factors'!$E$5)+(('Network TDC'!M17*(1-'Network TDC'!Y17)*'Fixed Factors'!$D$10+'Network TDC'!M17*'Network TDC'!Y17*'Fixed Factors'!$E$10)*'Fixed Factors'!$I$8)</f>
        <v>73437586.203947917</v>
      </c>
      <c r="H17" s="116">
        <f>'Network TDC'!N17*'Fixed Factors'!$I$13*'Fixed Factors'!$C$13</f>
        <v>46716567.628347106</v>
      </c>
      <c r="I17" s="116">
        <f>'Network TDC'!O17*'Fixed Factors'!$I$14*'Fixed Factors'!$C$14</f>
        <v>100132114.76566474</v>
      </c>
      <c r="J17" s="116">
        <f>'Network TDC'!P17*'Fixed Factors'!$I$15*'Fixed Factors'!$C$15</f>
        <v>39612191.217797302</v>
      </c>
      <c r="K17" s="117">
        <f>'Network TDC'!Q17*'Fixed Factors'!$I$13*'Fixed Factors'!$C$13</f>
        <v>45521432.187145844</v>
      </c>
      <c r="L17" s="117">
        <f>'Network TDC'!R17*'Fixed Factors'!$I$14*'Fixed Factors'!$C$14</f>
        <v>97570465.97093901</v>
      </c>
      <c r="M17" s="117">
        <f>'Network TDC'!S17*'Fixed Factors'!$I$15*'Fixed Factors'!$C$15</f>
        <v>36601268.442459963</v>
      </c>
      <c r="N17" s="117">
        <f>'Network TDC'!P17*'Network Shipper-Logistics'!$I$5*'Network Shipper-Logistics'!$I$7*SUMPRODUCT('Network Shipper-Logistics'!$D$6:$D$48,'Network Shipper-Logistics'!$N$6:$N$48)</f>
        <v>229190061.05000848</v>
      </c>
      <c r="O17" s="117">
        <f>'Network TDC'!S17*'Network Shipper-Logistics'!$I$5*'Network Shipper-Logistics'!$I$7*SUMPRODUCT('Network Shipper-Logistics'!$D$6:$D$48,'Network Shipper-Logistics'!$N$6:$N$48)</f>
        <v>211769323.81024724</v>
      </c>
      <c r="P17" s="116">
        <f>'Network TDC'!Z17*'Fixed Factors'!$D$13</f>
        <v>1411408.4158384434</v>
      </c>
      <c r="Q17" s="116">
        <f>'Network TDC'!AA17*'Fixed Factors'!$D$14</f>
        <v>3025207.472438626</v>
      </c>
      <c r="R17" s="116">
        <f>'Network TDC'!AB17*'Fixed Factors'!$D$15</f>
        <v>2877415.5315002282</v>
      </c>
      <c r="S17" s="116">
        <f>'Network TDC'!AC17*'Fixed Factors'!$D$13</f>
        <v>1375300.7926672003</v>
      </c>
      <c r="T17" s="116">
        <f>'Network TDC'!AD17*'Fixed Factors'!$D$14</f>
        <v>2947814.529188565</v>
      </c>
      <c r="U17" s="116">
        <f>'Network TDC'!AE17*'Fixed Factors'!$D$15</f>
        <v>2658703.1681707557</v>
      </c>
      <c r="V17" s="117">
        <f>'Network TDC'!AF17*'Fixed Factors'!$G$3</f>
        <v>27747120.674836069</v>
      </c>
      <c r="W17" s="117">
        <f>'Network TDC'!AG17*'Fixed Factors'!$H$3</f>
        <v>22632086.081702914</v>
      </c>
      <c r="X17" s="117">
        <f>'Network TDC'!AH17*'Fixed Factors'!$I$3</f>
        <v>2038624.7542921931</v>
      </c>
      <c r="Y17" s="117">
        <f>'Network TDC'!AI17*'Fixed Factors'!$G$3</f>
        <v>27618608.604643483</v>
      </c>
      <c r="Z17" s="117">
        <f>'Network TDC'!AJ17*'Fixed Factors'!$H$3</f>
        <v>22527264.530334722</v>
      </c>
      <c r="AA17" s="117">
        <f>'Network TDC'!AK17*'Fixed Factors'!$I$3</f>
        <v>2029182.7696412394</v>
      </c>
      <c r="AB17" s="117">
        <f>'Network TDC'!H17*'Network TDC'!T17*'Fixed Factors'!$E$29+'Network TDC'!H17*(1-'Network TDC'!T17)*'Fixed Factors'!$D$29</f>
        <v>581874.37024925067</v>
      </c>
      <c r="AC17" s="117">
        <f>'Network TDC'!I17*'Network TDC'!U17*'Fixed Factors'!$E$30+'Network TDC'!I17*(1-'Network TDC'!U17)*'Fixed Factors'!$D$30</f>
        <v>2287063.5466547981</v>
      </c>
      <c r="AD17" s="117">
        <f>'Network TDC'!J17*'Network TDC'!V17*'Fixed Factors'!$E$31+'Network TDC'!J17*(1-'Network TDC'!V17)*'Fixed Factors'!$D$31</f>
        <v>11025859.180552255</v>
      </c>
      <c r="AE17" s="117">
        <f>'Network TDC'!K17*'Network TDC'!W17*'Fixed Factors'!$E$29+'Network TDC'!K17*(1-'Network TDC'!W17)*'Fixed Factors'!$D$29</f>
        <v>579385.91412731784</v>
      </c>
      <c r="AF17" s="117">
        <f>'Network TDC'!L17*'Network TDC'!X17*'Fixed Factors'!$E$30+'Network TDC'!L17*(1-'Network TDC'!X17)*'Fixed Factors'!$D$30</f>
        <v>2275939.856044183</v>
      </c>
      <c r="AG17" s="117">
        <f>'Network TDC'!M17*'Network TDC'!Y17*'Fixed Factors'!$E$31+'Network TDC'!M17*(1-'Network TDC'!Y17)*'Fixed Factors'!$D$31</f>
        <v>10980148.934413534</v>
      </c>
    </row>
    <row r="18" spans="1:33" x14ac:dyDescent="0.25">
      <c r="A18" s="70">
        <f>'Network TDC'!A18</f>
        <v>2033</v>
      </c>
      <c r="B18" s="115">
        <f>('Network TDC'!H18*(1-'Network TDC'!T18)*'Fixed Factors'!$D$3+'Network TDC'!H18*'Network TDC'!T18*'Fixed Factors'!$E$3)+(('Network TDC'!H18*(1-'Network TDC'!T18)*'Fixed Factors'!$D$8+'Network TDC'!H18*'Network TDC'!T18*'Fixed Factors'!$E$8)*'Fixed Factors'!$I$9)</f>
        <v>25868246.689554136</v>
      </c>
      <c r="C18" s="115">
        <f>('Network TDC'!I18*(1-'Network TDC'!U18)*'Fixed Factors'!$D$4+'Network TDC'!I18*'Network TDC'!U18*'Fixed Factors'!$E$4)+(('Network TDC'!I18*(1-'Network TDC'!U18)*'Fixed Factors'!$D$9+'Network TDC'!I18*'Network TDC'!U18*'Fixed Factors'!$E$9)*'Fixed Factors'!$I$9)</f>
        <v>101682985.2601541</v>
      </c>
      <c r="D18" s="115">
        <f>('Network TDC'!J18*(1-'Network TDC'!V18)*'Fixed Factors'!$D$5+'Network TDC'!J18*'Network TDC'!V18*'Fixed Factors'!$E$5)+(('Network TDC'!J18*(1-'Network TDC'!V18)*'Fixed Factors'!$D$10+'Network TDC'!J18*'Network TDC'!V18*'Fixed Factors'!$E$10)*'Fixed Factors'!$I$8)</f>
        <v>75090275.036173835</v>
      </c>
      <c r="E18" s="115">
        <f>('Network TDC'!K18*(1-'Network TDC'!W18)*'Fixed Factors'!$D$3+'Network TDC'!K18*'Network TDC'!W18*'Fixed Factors'!$E$3)+(('Network TDC'!K18*(1-'Network TDC'!W18)*'Fixed Factors'!$D$8+'Network TDC'!K18*'Network TDC'!W18*'Fixed Factors'!$E$8)*'Fixed Factors'!$I$9)</f>
        <v>25755473.789487399</v>
      </c>
      <c r="F18" s="115">
        <f>('Network TDC'!L18*(1-'Network TDC'!X18)*'Fixed Factors'!$D$4+'Network TDC'!L18*'Network TDC'!X18*'Fixed Factors'!$E$4)+(('Network TDC'!L18*(1-'Network TDC'!X18)*'Fixed Factors'!$D$9+'Network TDC'!L18*'Network TDC'!X18*'Fixed Factors'!$E$9)*'Fixed Factors'!$I$9)</f>
        <v>101173095.69417857</v>
      </c>
      <c r="G18" s="115">
        <f>('Network TDC'!M18*(1-'Network TDC'!Y18)*'Fixed Factors'!$D$5+'Network TDC'!M18*'Network TDC'!Y18*'Fixed Factors'!$E$5)+(('Network TDC'!M18*(1-'Network TDC'!Y18)*'Fixed Factors'!$D$10+'Network TDC'!M18*'Network TDC'!Y18*'Fixed Factors'!$E$10)*'Fixed Factors'!$I$8)</f>
        <v>74786804.595788196</v>
      </c>
      <c r="H18" s="116">
        <f>'Network TDC'!N18*'Fixed Factors'!$I$13*'Fixed Factors'!$C$13</f>
        <v>46728790.183411881</v>
      </c>
      <c r="I18" s="116">
        <f>'Network TDC'!O18*'Fixed Factors'!$I$14*'Fixed Factors'!$C$14</f>
        <v>100158312.54406773</v>
      </c>
      <c r="J18" s="116">
        <f>'Network TDC'!P18*'Fixed Factors'!$I$15*'Fixed Factors'!$C$15</f>
        <v>40468878.373793997</v>
      </c>
      <c r="K18" s="117">
        <f>'Network TDC'!Q18*'Fixed Factors'!$I$13*'Fixed Factors'!$C$13</f>
        <v>45544289.988379136</v>
      </c>
      <c r="L18" s="117">
        <f>'Network TDC'!R18*'Fixed Factors'!$I$14*'Fixed Factors'!$C$14</f>
        <v>97619459.295846596</v>
      </c>
      <c r="M18" s="117">
        <f>'Network TDC'!S18*'Fixed Factors'!$I$15*'Fixed Factors'!$C$15</f>
        <v>37362044.263224803</v>
      </c>
      <c r="N18" s="117">
        <f>'Network TDC'!P18*'Network Shipper-Logistics'!$I$5*'Network Shipper-Logistics'!$I$7*SUMPRODUCT('Network Shipper-Logistics'!$D$6:$D$48,'Network Shipper-Logistics'!$N$6:$N$48)</f>
        <v>234146721.50093111</v>
      </c>
      <c r="O18" s="117">
        <f>'Network TDC'!S18*'Network Shipper-Logistics'!$I$5*'Network Shipper-Logistics'!$I$7*SUMPRODUCT('Network Shipper-Logistics'!$D$6:$D$48,'Network Shipper-Logistics'!$N$6:$N$48)</f>
        <v>216171055.99031723</v>
      </c>
      <c r="P18" s="116">
        <f>'Network TDC'!Z18*'Fixed Factors'!$D$13</f>
        <v>1411777.6856276693</v>
      </c>
      <c r="Q18" s="116">
        <f>'Network TDC'!AA18*'Fixed Factors'!$D$14</f>
        <v>3025998.9639113816</v>
      </c>
      <c r="R18" s="116">
        <f>'Network TDC'!AB18*'Fixed Factors'!$D$15</f>
        <v>2939644.9829019005</v>
      </c>
      <c r="S18" s="116">
        <f>'Network TDC'!AC18*'Fixed Factors'!$D$13</f>
        <v>1375991.3762153084</v>
      </c>
      <c r="T18" s="116">
        <f>'Network TDC'!AD18*'Fixed Factors'!$D$14</f>
        <v>2949294.7233596044</v>
      </c>
      <c r="U18" s="116">
        <f>'Network TDC'!AE18*'Fixed Factors'!$D$15</f>
        <v>2713965.6541721625</v>
      </c>
      <c r="V18" s="117">
        <f>'Network TDC'!AF18*'Fixed Factors'!$G$3</f>
        <v>27847604.753764808</v>
      </c>
      <c r="W18" s="117">
        <f>'Network TDC'!AG18*'Fixed Factors'!$H$3</f>
        <v>22714046.453404404</v>
      </c>
      <c r="X18" s="117">
        <f>'Network TDC'!AH18*'Fixed Factors'!$I$3</f>
        <v>2046007.4781833305</v>
      </c>
      <c r="Y18" s="117">
        <f>'Network TDC'!AI18*'Fixed Factors'!$G$3</f>
        <v>27716145.842013918</v>
      </c>
      <c r="Z18" s="117">
        <f>'Network TDC'!AJ18*'Fixed Factors'!$H$3</f>
        <v>22606821.295096312</v>
      </c>
      <c r="AA18" s="117">
        <f>'Network TDC'!AK18*'Fixed Factors'!$I$3</f>
        <v>2036348.9844315543</v>
      </c>
      <c r="AB18" s="117">
        <f>'Network TDC'!H18*'Network TDC'!T18*'Fixed Factors'!$E$29+'Network TDC'!H18*(1-'Network TDC'!T18)*'Fixed Factors'!$D$29</f>
        <v>581963.02359645243</v>
      </c>
      <c r="AC18" s="117">
        <f>'Network TDC'!I18*'Network TDC'!U18*'Fixed Factors'!$E$30+'Network TDC'!I18*(1-'Network TDC'!U18)*'Fixed Factors'!$D$30</f>
        <v>2287582.0793145816</v>
      </c>
      <c r="AD18" s="117">
        <f>'Network TDC'!J18*'Network TDC'!V18*'Fixed Factors'!$E$31+'Network TDC'!J18*(1-'Network TDC'!V18)*'Fixed Factors'!$D$31</f>
        <v>11227253.591008402</v>
      </c>
      <c r="AE18" s="117">
        <f>'Network TDC'!K18*'Network TDC'!W18*'Fixed Factors'!$E$29+'Network TDC'!K18*(1-'Network TDC'!W18)*'Fixed Factors'!$D$29</f>
        <v>579425.94952683337</v>
      </c>
      <c r="AF18" s="117">
        <f>'Network TDC'!L18*'Network TDC'!X18*'Fixed Factors'!$E$30+'Network TDC'!L18*(1-'Network TDC'!X18)*'Fixed Factors'!$D$30</f>
        <v>2276110.9936597804</v>
      </c>
      <c r="AG18" s="117">
        <f>'Network TDC'!M18*'Network TDC'!Y18*'Fixed Factors'!$E$31+'Network TDC'!M18*(1-'Network TDC'!Y18)*'Fixed Factors'!$D$31</f>
        <v>11181879.678208865</v>
      </c>
    </row>
    <row r="19" spans="1:33" x14ac:dyDescent="0.25">
      <c r="A19" s="70">
        <f>'Network TDC'!A19</f>
        <v>2034</v>
      </c>
      <c r="B19" s="115">
        <f>('Network TDC'!H19*(1-'Network TDC'!T19)*'Fixed Factors'!$D$3+'Network TDC'!H19*'Network TDC'!T19*'Fixed Factors'!$E$3)+(('Network TDC'!H19*(1-'Network TDC'!T19)*'Fixed Factors'!$D$8+'Network TDC'!H19*'Network TDC'!T19*'Fixed Factors'!$E$8)*'Fixed Factors'!$I$9)</f>
        <v>25872187.929747079</v>
      </c>
      <c r="C19" s="115">
        <f>('Network TDC'!I19*(1-'Network TDC'!U19)*'Fixed Factors'!$D$4+'Network TDC'!I19*'Network TDC'!U19*'Fixed Factors'!$E$4)+(('Network TDC'!I19*(1-'Network TDC'!U19)*'Fixed Factors'!$D$9+'Network TDC'!I19*'Network TDC'!U19*'Fixed Factors'!$E$9)*'Fixed Factors'!$I$9)</f>
        <v>101706039.25394399</v>
      </c>
      <c r="D19" s="115">
        <f>('Network TDC'!J19*(1-'Network TDC'!V19)*'Fixed Factors'!$D$5+'Network TDC'!J19*'Network TDC'!V19*'Fixed Factors'!$E$5)+(('Network TDC'!J19*(1-'Network TDC'!V19)*'Fixed Factors'!$D$10+'Network TDC'!J19*'Network TDC'!V19*'Fixed Factors'!$E$10)*'Fixed Factors'!$I$8)</f>
        <v>76461847.212478623</v>
      </c>
      <c r="E19" s="115">
        <f>('Network TDC'!K19*(1-'Network TDC'!W19)*'Fixed Factors'!$D$3+'Network TDC'!K19*'Network TDC'!W19*'Fixed Factors'!$E$3)+(('Network TDC'!K19*(1-'Network TDC'!W19)*'Fixed Factors'!$D$8+'Network TDC'!K19*'Network TDC'!W19*'Fixed Factors'!$E$8)*'Fixed Factors'!$I$9)</f>
        <v>25757253.485295899</v>
      </c>
      <c r="F19" s="115">
        <f>('Network TDC'!L19*(1-'Network TDC'!X19)*'Fixed Factors'!$D$4+'Network TDC'!L19*'Network TDC'!X19*'Fixed Factors'!$E$4)+(('Network TDC'!L19*(1-'Network TDC'!X19)*'Fixed Factors'!$D$9+'Network TDC'!L19*'Network TDC'!X19*'Fixed Factors'!$E$9)*'Fixed Factors'!$I$9)</f>
        <v>101180703.33034423</v>
      </c>
      <c r="G19" s="115">
        <f>('Network TDC'!M19*(1-'Network TDC'!Y19)*'Fixed Factors'!$D$5+'Network TDC'!M19*'Network TDC'!Y19*'Fixed Factors'!$E$5)+(('Network TDC'!M19*(1-'Network TDC'!Y19)*'Fixed Factors'!$D$10+'Network TDC'!M19*'Network TDC'!Y19*'Fixed Factors'!$E$10)*'Fixed Factors'!$I$8)</f>
        <v>76160811.251554057</v>
      </c>
      <c r="H19" s="116">
        <f>'Network TDC'!N19*'Fixed Factors'!$I$13*'Fixed Factors'!$C$13</f>
        <v>46741015.936289757</v>
      </c>
      <c r="I19" s="116">
        <f>'Network TDC'!O19*'Fixed Factors'!$I$14*'Fixed Factors'!$C$14</f>
        <v>100184517.17665125</v>
      </c>
      <c r="J19" s="116">
        <f>'Network TDC'!P19*'Fixed Factors'!$I$15*'Fixed Factors'!$C$15</f>
        <v>41344092.9795653</v>
      </c>
      <c r="K19" s="117">
        <f>'Network TDC'!Q19*'Fixed Factors'!$I$13*'Fixed Factors'!$C$13</f>
        <v>45567159.26726266</v>
      </c>
      <c r="L19" s="117">
        <f>'Network TDC'!R19*'Fixed Factors'!$I$14*'Fixed Factors'!$C$14</f>
        <v>97668477.221906379</v>
      </c>
      <c r="M19" s="117">
        <f>'Network TDC'!S19*'Fixed Factors'!$I$15*'Fixed Factors'!$C$15</f>
        <v>38138633.193045422</v>
      </c>
      <c r="N19" s="117">
        <f>'Network TDC'!P19*'Network Shipper-Logistics'!$I$5*'Network Shipper-Logistics'!$I$7*SUMPRODUCT('Network Shipper-Logistics'!$D$6:$D$48,'Network Shipper-Logistics'!$N$6:$N$48)</f>
        <v>239210578.93375251</v>
      </c>
      <c r="O19" s="117">
        <f>'Network TDC'!S19*'Network Shipper-Logistics'!$I$5*'Network Shipper-Logistics'!$I$7*SUMPRODUCT('Network Shipper-Logistics'!$D$6:$D$48,'Network Shipper-Logistics'!$N$6:$N$48)</f>
        <v>220664280.39332327</v>
      </c>
      <c r="P19" s="116">
        <f>'Network TDC'!Z19*'Fixed Factors'!$D$13</f>
        <v>1412147.0520297361</v>
      </c>
      <c r="Q19" s="116">
        <f>'Network TDC'!AA19*'Fixed Factors'!$D$14</f>
        <v>3026790.6624637363</v>
      </c>
      <c r="R19" s="116">
        <f>'Network TDC'!AB19*'Fixed Factors'!$D$15</f>
        <v>3003220.2616890711</v>
      </c>
      <c r="S19" s="116">
        <f>'Network TDC'!AC19*'Fixed Factors'!$D$13</f>
        <v>1376682.3065280223</v>
      </c>
      <c r="T19" s="116">
        <f>'Network TDC'!AD19*'Fixed Factors'!$D$14</f>
        <v>2950775.660784591</v>
      </c>
      <c r="U19" s="116">
        <f>'Network TDC'!AE19*'Fixed Factors'!$D$15</f>
        <v>2770376.7988112154</v>
      </c>
      <c r="V19" s="117">
        <f>'Network TDC'!AF19*'Fixed Factors'!$G$3</f>
        <v>27949838.261868373</v>
      </c>
      <c r="W19" s="117">
        <f>'Network TDC'!AG19*'Fixed Factors'!$H$3</f>
        <v>22797433.756287068</v>
      </c>
      <c r="X19" s="117">
        <f>'Network TDC'!AH19*'Fixed Factors'!$I$3</f>
        <v>2053518.7353973831</v>
      </c>
      <c r="Y19" s="117">
        <f>'Network TDC'!AI19*'Fixed Factors'!$G$3</f>
        <v>27815444.750493679</v>
      </c>
      <c r="Z19" s="117">
        <f>'Network TDC'!AJ19*'Fixed Factors'!$H$3</f>
        <v>22687814.976237833</v>
      </c>
      <c r="AA19" s="117">
        <f>'Network TDC'!AK19*'Fixed Factors'!$I$3</f>
        <v>2043644.6319790354</v>
      </c>
      <c r="AB19" s="117">
        <f>'Network TDC'!H19*'Network TDC'!T19*'Fixed Factors'!$E$29+'Network TDC'!H19*(1-'Network TDC'!T19)*'Fixed Factors'!$D$29</f>
        <v>582051.69045072095</v>
      </c>
      <c r="AC19" s="117">
        <f>'Network TDC'!I19*'Network TDC'!U19*'Fixed Factors'!$E$30+'Network TDC'!I19*(1-'Network TDC'!U19)*'Fixed Factors'!$D$30</f>
        <v>2288100.7295382693</v>
      </c>
      <c r="AD19" s="117">
        <f>'Network TDC'!J19*'Network TDC'!V19*'Fixed Factors'!$E$31+'Network TDC'!J19*(1-'Network TDC'!V19)*'Fixed Factors'!$D$31</f>
        <v>11432326.599921033</v>
      </c>
      <c r="AE19" s="117">
        <f>'Network TDC'!K19*'Network TDC'!W19*'Fixed Factors'!$E$29+'Network TDC'!K19*(1-'Network TDC'!W19)*'Fixed Factors'!$D$29</f>
        <v>579465.98769278359</v>
      </c>
      <c r="AF19" s="117">
        <f>'Network TDC'!L19*'Network TDC'!X19*'Fixed Factors'!$E$30+'Network TDC'!L19*(1-'Network TDC'!X19)*'Fixed Factors'!$D$30</f>
        <v>2276282.1441439441</v>
      </c>
      <c r="AG19" s="117">
        <f>'Network TDC'!M19*'Network TDC'!Y19*'Fixed Factors'!$E$31+'Network TDC'!M19*(1-'Network TDC'!Y19)*'Fixed Factors'!$D$31</f>
        <v>11387316.682569087</v>
      </c>
    </row>
    <row r="20" spans="1:33" x14ac:dyDescent="0.25">
      <c r="A20" s="70">
        <f>'Network TDC'!A20</f>
        <v>2035</v>
      </c>
      <c r="B20" s="115">
        <f>('Network TDC'!H20*(1-'Network TDC'!T20)*'Fixed Factors'!$D$3+'Network TDC'!H20*'Network TDC'!T20*'Fixed Factors'!$E$3)+(('Network TDC'!H20*(1-'Network TDC'!T20)*'Fixed Factors'!$D$8+'Network TDC'!H20*'Network TDC'!T20*'Fixed Factors'!$E$8)*'Fixed Factors'!$I$9)</f>
        <v>25876129.770420387</v>
      </c>
      <c r="C20" s="115">
        <f>('Network TDC'!I20*(1-'Network TDC'!U20)*'Fixed Factors'!$D$4+'Network TDC'!I20*'Network TDC'!U20*'Fixed Factors'!$E$4)+(('Network TDC'!I20*(1-'Network TDC'!U20)*'Fixed Factors'!$D$9+'Network TDC'!I20*'Network TDC'!U20*'Fixed Factors'!$E$9)*'Fixed Factors'!$I$9)</f>
        <v>101729098.47463226</v>
      </c>
      <c r="D20" s="115">
        <f>('Network TDC'!J20*(1-'Network TDC'!V20)*'Fixed Factors'!$D$5+'Network TDC'!J20*'Network TDC'!V20*'Fixed Factors'!$E$5)+(('Network TDC'!J20*(1-'Network TDC'!V20)*'Fixed Factors'!$D$10+'Network TDC'!J20*'Network TDC'!V20*'Fixed Factors'!$E$10)*'Fixed Factors'!$I$8)</f>
        <v>77858472.036864772</v>
      </c>
      <c r="E20" s="115">
        <f>('Network TDC'!K20*(1-'Network TDC'!W20)*'Fixed Factors'!$D$3+'Network TDC'!K20*'Network TDC'!W20*'Fixed Factors'!$E$3)+(('Network TDC'!K20*(1-'Network TDC'!W20)*'Fixed Factors'!$D$8+'Network TDC'!K20*'Network TDC'!W20*'Fixed Factors'!$E$8)*'Fixed Factors'!$I$9)</f>
        <v>25759033.304080863</v>
      </c>
      <c r="F20" s="115">
        <f>('Network TDC'!L20*(1-'Network TDC'!X20)*'Fixed Factors'!$D$4+'Network TDC'!L20*'Network TDC'!X20*'Fixed Factors'!$E$4)+(('Network TDC'!L20*(1-'Network TDC'!X20)*'Fixed Factors'!$D$9+'Network TDC'!L20*'Network TDC'!X20*'Fixed Factors'!$E$9)*'Fixed Factors'!$I$9)</f>
        <v>101188311.53856044</v>
      </c>
      <c r="G20" s="115">
        <f>('Network TDC'!M20*(1-'Network TDC'!Y20)*'Fixed Factors'!$D$5+'Network TDC'!M20*'Network TDC'!Y20*'Fixed Factors'!$E$5)+(('Network TDC'!M20*(1-'Network TDC'!Y20)*'Fixed Factors'!$D$10+'Network TDC'!M20*'Network TDC'!Y20*'Fixed Factors'!$E$10)*'Fixed Factors'!$I$8)</f>
        <v>77560061.589013398</v>
      </c>
      <c r="H20" s="116">
        <f>'Network TDC'!N20*'Fixed Factors'!$I$13*'Fixed Factors'!$C$13</f>
        <v>46753244.88781739</v>
      </c>
      <c r="I20" s="116">
        <f>'Network TDC'!O20*'Fixed Factors'!$I$14*'Fixed Factors'!$C$14</f>
        <v>100210728.66520859</v>
      </c>
      <c r="J20" s="116">
        <f>'Network TDC'!P20*'Fixed Factors'!$I$15*'Fixed Factors'!$C$15</f>
        <v>42238235.725599848</v>
      </c>
      <c r="K20" s="117">
        <f>'Network TDC'!Q20*'Fixed Factors'!$I$13*'Fixed Factors'!$C$13</f>
        <v>45590040.029559731</v>
      </c>
      <c r="L20" s="117">
        <f>'Network TDC'!R20*'Fixed Factors'!$I$14*'Fixed Factors'!$C$14</f>
        <v>97717519.761471421</v>
      </c>
      <c r="M20" s="117">
        <f>'Network TDC'!S20*'Fixed Factors'!$I$15*'Fixed Factors'!$C$15</f>
        <v>38931363.915367305</v>
      </c>
      <c r="N20" s="117">
        <f>'Network TDC'!P20*'Network Shipper-Logistics'!$I$5*'Network Shipper-Logistics'!$I$7*SUMPRODUCT('Network Shipper-Logistics'!$D$6:$D$48,'Network Shipper-Logistics'!$N$6:$N$48)</f>
        <v>244383951.68216556</v>
      </c>
      <c r="O20" s="117">
        <f>'Network TDC'!S20*'Network Shipper-Logistics'!$I$5*'Network Shipper-Logistics'!$I$7*SUMPRODUCT('Network Shipper-Logistics'!$D$6:$D$48,'Network Shipper-Logistics'!$N$6:$N$48)</f>
        <v>225250898.73125401</v>
      </c>
      <c r="P20" s="116">
        <f>'Network TDC'!Z20*'Fixed Factors'!$D$13</f>
        <v>1412516.5150699213</v>
      </c>
      <c r="Q20" s="116">
        <f>'Network TDC'!AA20*'Fixed Factors'!$D$14</f>
        <v>3027582.5681498689</v>
      </c>
      <c r="R20" s="116">
        <f>'Network TDC'!AB20*'Fixed Factors'!$D$15</f>
        <v>3068170.4738768316</v>
      </c>
      <c r="S20" s="116">
        <f>'Network TDC'!AC20*'Fixed Factors'!$D$13</f>
        <v>1377373.5837794635</v>
      </c>
      <c r="T20" s="116">
        <f>'Network TDC'!AD20*'Fixed Factors'!$D$14</f>
        <v>2952257.3418367365</v>
      </c>
      <c r="U20" s="116">
        <f>'Network TDC'!AE20*'Fixed Factors'!$D$15</f>
        <v>2827960.4775369093</v>
      </c>
      <c r="V20" s="117">
        <f>'Network TDC'!AF20*'Fixed Factors'!$G$3</f>
        <v>28053853.135039698</v>
      </c>
      <c r="W20" s="117">
        <f>'Network TDC'!AG20*'Fixed Factors'!$H$3</f>
        <v>22882274.039031275</v>
      </c>
      <c r="X20" s="117">
        <f>'Network TDC'!AH20*'Fixed Factors'!$I$3</f>
        <v>2061160.8723148152</v>
      </c>
      <c r="Y20" s="117">
        <f>'Network TDC'!AI20*'Fixed Factors'!$G$3</f>
        <v>27916537.69381313</v>
      </c>
      <c r="Z20" s="117">
        <f>'Network TDC'!AJ20*'Fixed Factors'!$H$3</f>
        <v>22770271.971407548</v>
      </c>
      <c r="AA20" s="117">
        <f>'Network TDC'!AK20*'Fixed Factors'!$I$3</f>
        <v>2051072.0900980392</v>
      </c>
      <c r="AB20" s="117">
        <f>'Network TDC'!H20*'Network TDC'!T20*'Fixed Factors'!$E$29+'Network TDC'!H20*(1-'Network TDC'!T20)*'Fixed Factors'!$D$29</f>
        <v>582140.37081411423</v>
      </c>
      <c r="AC20" s="117">
        <f>'Network TDC'!I20*'Network TDC'!U20*'Fixed Factors'!$E$30+'Network TDC'!I20*(1-'Network TDC'!U20)*'Fixed Factors'!$D$30</f>
        <v>2288619.4973525158</v>
      </c>
      <c r="AD20" s="117">
        <f>'Network TDC'!J20*'Network TDC'!V20*'Fixed Factors'!$E$31+'Network TDC'!J20*(1-'Network TDC'!V20)*'Fixed Factors'!$D$31</f>
        <v>11641145.399257259</v>
      </c>
      <c r="AE20" s="117">
        <f>'Network TDC'!K20*'Network TDC'!W20*'Fixed Factors'!$E$29+'Network TDC'!K20*(1-'Network TDC'!W20)*'Fixed Factors'!$D$29</f>
        <v>579506.02862535941</v>
      </c>
      <c r="AF20" s="117">
        <f>'Network TDC'!L20*'Network TDC'!X20*'Fixed Factors'!$E$30+'Network TDC'!L20*(1-'Network TDC'!X20)*'Fixed Factors'!$D$30</f>
        <v>2276453.307497642</v>
      </c>
      <c r="AG20" s="117">
        <f>'Network TDC'!M20*'Network TDC'!Y20*'Fixed Factors'!$E$31+'Network TDC'!M20*(1-'Network TDC'!Y20)*'Fixed Factors'!$D$31</f>
        <v>11596528.040076995</v>
      </c>
    </row>
    <row r="21" spans="1:33" x14ac:dyDescent="0.25">
      <c r="A21" s="70">
        <f>'Network TDC'!A21</f>
        <v>2036</v>
      </c>
      <c r="B21" s="115">
        <f>('Network TDC'!H21*(1-'Network TDC'!T21)*'Fixed Factors'!$D$3+'Network TDC'!H21*'Network TDC'!T21*'Fixed Factors'!$E$3)+(('Network TDC'!H21*(1-'Network TDC'!T21)*'Fixed Factors'!$D$8+'Network TDC'!H21*'Network TDC'!T21*'Fixed Factors'!$E$8)*'Fixed Factors'!$I$9)</f>
        <v>25934107.582114547</v>
      </c>
      <c r="C21" s="115">
        <f>('Network TDC'!I21*(1-'Network TDC'!U21)*'Fixed Factors'!$D$4+'Network TDC'!I21*'Network TDC'!U21*'Fixed Factors'!$E$4)+(('Network TDC'!I21*(1-'Network TDC'!U21)*'Fixed Factors'!$D$9+'Network TDC'!I21*'Network TDC'!U21*'Fixed Factors'!$E$9)*'Fixed Factors'!$I$9)</f>
        <v>101964612.70996504</v>
      </c>
      <c r="D21" s="115">
        <f>('Network TDC'!J21*(1-'Network TDC'!V21)*'Fixed Factors'!$D$5+'Network TDC'!J21*'Network TDC'!V21*'Fixed Factors'!$E$5)+(('Network TDC'!J21*(1-'Network TDC'!V21)*'Fixed Factors'!$D$10+'Network TDC'!J21*'Network TDC'!V21*'Fixed Factors'!$E$10)*'Fixed Factors'!$I$8)</f>
        <v>79922287.3177661</v>
      </c>
      <c r="E21" s="115">
        <f>('Network TDC'!K21*(1-'Network TDC'!W21)*'Fixed Factors'!$D$3+'Network TDC'!K21*'Network TDC'!W21*'Fixed Factors'!$E$3)+(('Network TDC'!K21*(1-'Network TDC'!W21)*'Fixed Factors'!$D$8+'Network TDC'!K21*'Network TDC'!W21*'Fixed Factors'!$E$8)*'Fixed Factors'!$I$9)</f>
        <v>25814599.613810748</v>
      </c>
      <c r="F21" s="115">
        <f>('Network TDC'!L21*(1-'Network TDC'!X21)*'Fixed Factors'!$D$4+'Network TDC'!L21*'Network TDC'!X21*'Fixed Factors'!$E$4)+(('Network TDC'!L21*(1-'Network TDC'!X21)*'Fixed Factors'!$D$9+'Network TDC'!L21*'Network TDC'!X21*'Fixed Factors'!$E$9)*'Fixed Factors'!$I$9)</f>
        <v>101407208.71859477</v>
      </c>
      <c r="G21" s="115">
        <f>('Network TDC'!M21*(1-'Network TDC'!Y21)*'Fixed Factors'!$D$5+'Network TDC'!M21*'Network TDC'!Y21*'Fixed Factors'!$E$5)+(('Network TDC'!M21*(1-'Network TDC'!Y21)*'Fixed Factors'!$D$10+'Network TDC'!M21*'Network TDC'!Y21*'Fixed Factors'!$E$10)*'Fixed Factors'!$I$8)</f>
        <v>79624307.175203264</v>
      </c>
      <c r="H21" s="116">
        <f>'Network TDC'!N21*'Fixed Factors'!$I$13*'Fixed Factors'!$C$13</f>
        <v>46765477.038831651</v>
      </c>
      <c r="I21" s="116">
        <f>'Network TDC'!O21*'Fixed Factors'!$I$14*'Fixed Factors'!$C$14</f>
        <v>100236947.0115335</v>
      </c>
      <c r="J21" s="116">
        <f>'Network TDC'!P21*'Fixed Factors'!$I$15*'Fixed Factors'!$C$15</f>
        <v>43151715.96806179</v>
      </c>
      <c r="K21" s="117">
        <f>'Network TDC'!Q21*'Fixed Factors'!$I$13*'Fixed Factors'!$C$13</f>
        <v>45612932.281036556</v>
      </c>
      <c r="L21" s="117">
        <f>'Network TDC'!R21*'Fixed Factors'!$I$14*'Fixed Factors'!$C$14</f>
        <v>97766586.926900998</v>
      </c>
      <c r="M21" s="117">
        <f>'Network TDC'!S21*'Fixed Factors'!$I$15*'Fixed Factors'!$C$15</f>
        <v>39740571.945487082</v>
      </c>
      <c r="N21" s="117">
        <f>'Network TDC'!P21*'Network Shipper-Logistics'!$I$5*'Network Shipper-Logistics'!$I$7*SUMPRODUCT('Network Shipper-Logistics'!$D$6:$D$48,'Network Shipper-Logistics'!$N$6:$N$48)</f>
        <v>249669208.21813238</v>
      </c>
      <c r="O21" s="117">
        <f>'Network TDC'!S21*'Network Shipper-Logistics'!$I$5*'Network Shipper-Logistics'!$I$7*SUMPRODUCT('Network Shipper-Logistics'!$D$6:$D$48,'Network Shipper-Logistics'!$N$6:$N$48)</f>
        <v>229932852.2441408</v>
      </c>
      <c r="P21" s="116">
        <f>'Network TDC'!Z21*'Fixed Factors'!$D$13</f>
        <v>1689996.5603730134</v>
      </c>
      <c r="Q21" s="116">
        <f>'Network TDC'!AA21*'Fixed Factors'!$D$14</f>
        <v>3622332.2501580059</v>
      </c>
      <c r="R21" s="116">
        <f>'Network TDC'!AB21*'Fixed Factors'!$D$15</f>
        <v>3749302.3413935504</v>
      </c>
      <c r="S21" s="116">
        <f>'Network TDC'!AC21*'Fixed Factors'!$D$13</f>
        <v>1648346.2490817949</v>
      </c>
      <c r="T21" s="116">
        <f>'Network TDC'!AD21*'Fixed Factors'!$D$14</f>
        <v>3533059.130107394</v>
      </c>
      <c r="U21" s="116">
        <f>'Network TDC'!AE21*'Fixed Factors'!$D$15</f>
        <v>3452919.9152546711</v>
      </c>
      <c r="V21" s="117">
        <f>'Network TDC'!AF21*'Fixed Factors'!$G$3</f>
        <v>28159681.892497282</v>
      </c>
      <c r="W21" s="117">
        <f>'Network TDC'!AG21*'Fixed Factors'!$H$3</f>
        <v>22968593.826110005</v>
      </c>
      <c r="X21" s="117">
        <f>'Network TDC'!AH21*'Fixed Factors'!$I$3</f>
        <v>2068936.2781739421</v>
      </c>
      <c r="Y21" s="117">
        <f>'Network TDC'!AI21*'Fixed Factors'!$G$3</f>
        <v>28019457.630299099</v>
      </c>
      <c r="Z21" s="117">
        <f>'Network TDC'!AJ21*'Fixed Factors'!$H$3</f>
        <v>22854219.163239468</v>
      </c>
      <c r="AA21" s="117">
        <f>'Network TDC'!AK21*'Fixed Factors'!$I$3</f>
        <v>2058633.7802888614</v>
      </c>
      <c r="AB21" s="117">
        <f>'Network TDC'!H21*'Network TDC'!T21*'Fixed Factors'!$E$29+'Network TDC'!H21*(1-'Network TDC'!T21)*'Fixed Factors'!$D$29</f>
        <v>582229.06777177227</v>
      </c>
      <c r="AC21" s="117">
        <f>'Network TDC'!I21*'Network TDC'!U21*'Fixed Factors'!$E$30+'Network TDC'!I21*(1-'Network TDC'!U21)*'Fixed Factors'!$D$30</f>
        <v>2289138.3949056733</v>
      </c>
      <c r="AD21" s="117">
        <f>'Network TDC'!J21*'Network TDC'!V21*'Fixed Factors'!$E$31+'Network TDC'!J21*(1-'Network TDC'!V21)*'Fixed Factors'!$D$31</f>
        <v>12060530.427522717</v>
      </c>
      <c r="AE21" s="117">
        <f>'Network TDC'!K21*'Network TDC'!W21*'Fixed Factors'!$E$29+'Network TDC'!K21*(1-'Network TDC'!W21)*'Fixed Factors'!$D$29</f>
        <v>579546.07539362693</v>
      </c>
      <c r="AF21" s="117">
        <f>'Network TDC'!L21*'Network TDC'!X21*'Fixed Factors'!$E$30+'Network TDC'!L21*(1-'Network TDC'!X21)*'Fixed Factors'!$D$30</f>
        <v>2276624.4957772689</v>
      </c>
      <c r="AG21" s="117">
        <f>'Network TDC'!M21*'Network TDC'!Y21*'Fixed Factors'!$E$31+'Network TDC'!M21*(1-'Network TDC'!Y21)*'Fixed Factors'!$D$31</f>
        <v>12015564.264806578</v>
      </c>
    </row>
    <row r="22" spans="1:33" x14ac:dyDescent="0.25">
      <c r="A22" s="70">
        <f>'Network TDC'!A22</f>
        <v>2037</v>
      </c>
      <c r="B22" s="115">
        <f>('Network TDC'!H22*(1-'Network TDC'!T22)*'Fixed Factors'!$D$3+'Network TDC'!H22*'Network TDC'!T22*'Fixed Factors'!$E$3)+(('Network TDC'!H22*(1-'Network TDC'!T22)*'Fixed Factors'!$D$8+'Network TDC'!H22*'Network TDC'!T22*'Fixed Factors'!$E$8)*'Fixed Factors'!$I$9)</f>
        <v>25938058.856756289</v>
      </c>
      <c r="C22" s="115">
        <f>('Network TDC'!I22*(1-'Network TDC'!U22)*'Fixed Factors'!$D$4+'Network TDC'!I22*'Network TDC'!U22*'Fixed Factors'!$E$4)+(('Network TDC'!I22*(1-'Network TDC'!U22)*'Fixed Factors'!$D$9+'Network TDC'!I22*'Network TDC'!U22*'Fixed Factors'!$E$9)*'Fixed Factors'!$I$9)</f>
        <v>101987730.55551404</v>
      </c>
      <c r="D22" s="115">
        <f>('Network TDC'!J22*(1-'Network TDC'!V22)*'Fixed Factors'!$D$5+'Network TDC'!J22*'Network TDC'!V22*'Fixed Factors'!$E$5)+(('Network TDC'!J22*(1-'Network TDC'!V22)*'Fixed Factors'!$D$10+'Network TDC'!J22*'Network TDC'!V22*'Fixed Factors'!$E$10)*'Fixed Factors'!$I$8)</f>
        <v>81382119.306647182</v>
      </c>
      <c r="E22" s="115">
        <f>('Network TDC'!K22*(1-'Network TDC'!W22)*'Fixed Factors'!$D$3+'Network TDC'!K22*'Network TDC'!W22*'Fixed Factors'!$E$3)+(('Network TDC'!K22*(1-'Network TDC'!W22)*'Fixed Factors'!$D$8+'Network TDC'!K22*'Network TDC'!W22*'Fixed Factors'!$E$8)*'Fixed Factors'!$I$9)</f>
        <v>25816383.395196654</v>
      </c>
      <c r="F22" s="115">
        <f>('Network TDC'!L22*(1-'Network TDC'!X22)*'Fixed Factors'!$D$4+'Network TDC'!L22*'Network TDC'!X22*'Fixed Factors'!$E$4)+(('Network TDC'!L22*(1-'Network TDC'!X22)*'Fixed Factors'!$D$9+'Network TDC'!L22*'Network TDC'!X22*'Fixed Factors'!$E$9)*'Fixed Factors'!$I$9)</f>
        <v>101414833.9587163</v>
      </c>
      <c r="G22" s="115">
        <f>('Network TDC'!M22*(1-'Network TDC'!Y22)*'Fixed Factors'!$D$5+'Network TDC'!M22*'Network TDC'!Y22*'Fixed Factors'!$E$5)+(('Network TDC'!M22*(1-'Network TDC'!Y22)*'Fixed Factors'!$D$10+'Network TDC'!M22*'Network TDC'!Y22*'Fixed Factors'!$E$10)*'Fixed Factors'!$I$8)</f>
        <v>81087189.947248265</v>
      </c>
      <c r="H22" s="116">
        <f>'Network TDC'!N22*'Fixed Factors'!$I$13*'Fixed Factors'!$C$13</f>
        <v>46777712.390169628</v>
      </c>
      <c r="I22" s="116">
        <f>'Network TDC'!O22*'Fixed Factors'!$I$14*'Fixed Factors'!$C$14</f>
        <v>100263172.21742019</v>
      </c>
      <c r="J22" s="116">
        <f>'Network TDC'!P22*'Fixed Factors'!$I$15*'Fixed Factors'!$C$15</f>
        <v>44084951.916202098</v>
      </c>
      <c r="K22" s="117">
        <f>'Network TDC'!Q22*'Fixed Factors'!$I$13*'Fixed Factors'!$C$13</f>
        <v>45635836.027462222</v>
      </c>
      <c r="L22" s="117">
        <f>'Network TDC'!R22*'Fixed Factors'!$I$14*'Fixed Factors'!$C$14</f>
        <v>97815678.730560526</v>
      </c>
      <c r="M22" s="117">
        <f>'Network TDC'!S22*'Fixed Factors'!$I$15*'Fixed Factors'!$C$15</f>
        <v>40566599.772556029</v>
      </c>
      <c r="N22" s="117">
        <f>'Network TDC'!P22*'Network Shipper-Logistics'!$I$5*'Network Shipper-Logistics'!$I$7*SUMPRODUCT('Network Shipper-Logistics'!$D$6:$D$48,'Network Shipper-Logistics'!$N$6:$N$48)</f>
        <v>255068768.23621693</v>
      </c>
      <c r="O22" s="117">
        <f>'Network TDC'!S22*'Network Shipper-Logistics'!$I$5*'Network Shipper-Logistics'!$I$7*SUMPRODUCT('Network Shipper-Logistics'!$D$6:$D$48,'Network Shipper-Logistics'!$N$6:$N$48)</f>
        <v>234712122.5216679</v>
      </c>
      <c r="P22" s="116">
        <f>'Network TDC'!Z22*'Fixed Factors'!$D$13</f>
        <v>1690438.7177717064</v>
      </c>
      <c r="Q22" s="116">
        <f>'Network TDC'!AA22*'Fixed Factors'!$D$14</f>
        <v>3623279.9686578456</v>
      </c>
      <c r="R22" s="116">
        <f>'Network TDC'!AB22*'Fixed Factors'!$D$15</f>
        <v>3830387.9632961606</v>
      </c>
      <c r="S22" s="116">
        <f>'Network TDC'!AC22*'Fixed Factors'!$D$13</f>
        <v>1649173.9376916401</v>
      </c>
      <c r="T22" s="116">
        <f>'Network TDC'!AD22*'Fixed Factors'!$D$14</f>
        <v>3534833.194750383</v>
      </c>
      <c r="U22" s="116">
        <f>'Network TDC'!AE22*'Fixed Factors'!$D$15</f>
        <v>3524690.5968279843</v>
      </c>
      <c r="V22" s="117">
        <f>'Network TDC'!AF22*'Fixed Factors'!$G$3</f>
        <v>28267357.647440005</v>
      </c>
      <c r="W22" s="117">
        <f>'Network TDC'!AG22*'Fixed Factors'!$H$3</f>
        <v>23056420.12647948</v>
      </c>
      <c r="X22" s="117">
        <f>'Network TDC'!AH22*'Fixed Factors'!$I$3</f>
        <v>2076847.3858537527</v>
      </c>
      <c r="Y22" s="117">
        <f>'Network TDC'!AI22*'Fixed Factors'!$G$3</f>
        <v>28124238.123798978</v>
      </c>
      <c r="Z22" s="117">
        <f>'Network TDC'!AJ22*'Fixed Factors'!$H$3</f>
        <v>22939683.928263657</v>
      </c>
      <c r="AA22" s="117">
        <f>'Network TDC'!AK22*'Fixed Factors'!$I$3</f>
        <v>2066332.1685403509</v>
      </c>
      <c r="AB22" s="117">
        <f>'Network TDC'!H22*'Network TDC'!T22*'Fixed Factors'!$E$29+'Network TDC'!H22*(1-'Network TDC'!T22)*'Fixed Factors'!$D$29</f>
        <v>582317.77516005957</v>
      </c>
      <c r="AC22" s="117">
        <f>'Network TDC'!I22*'Network TDC'!U22*'Fixed Factors'!$E$30+'Network TDC'!I22*(1-'Network TDC'!U22)*'Fixed Factors'!$D$30</f>
        <v>2289657.3979837731</v>
      </c>
      <c r="AD22" s="117">
        <f>'Network TDC'!J22*'Network TDC'!V22*'Fixed Factors'!$E$31+'Network TDC'!J22*(1-'Network TDC'!V22)*'Fixed Factors'!$D$31</f>
        <v>12280823.773870146</v>
      </c>
      <c r="AE22" s="117">
        <f>'Network TDC'!K22*'Network TDC'!W22*'Fixed Factors'!$E$29+'Network TDC'!K22*(1-'Network TDC'!W22)*'Fixed Factors'!$D$29</f>
        <v>579586.12186023965</v>
      </c>
      <c r="AF22" s="117">
        <f>'Network TDC'!L22*'Network TDC'!X22*'Fixed Factors'!$E$30+'Network TDC'!L22*(1-'Network TDC'!X22)*'Fixed Factors'!$D$30</f>
        <v>2276795.684873845</v>
      </c>
      <c r="AG22" s="117">
        <f>'Network TDC'!M22*'Network TDC'!Y22*'Fixed Factors'!$E$31+'Network TDC'!M22*(1-'Network TDC'!Y22)*'Fixed Factors'!$D$31</f>
        <v>12236317.984153967</v>
      </c>
    </row>
    <row r="23" spans="1:33" x14ac:dyDescent="0.25">
      <c r="A23" s="70">
        <f>'Network TDC'!A23</f>
        <v>2038</v>
      </c>
      <c r="B23" s="115">
        <f>('Network TDC'!H23*(1-'Network TDC'!T23)*'Fixed Factors'!$D$3+'Network TDC'!H23*'Network TDC'!T23*'Fixed Factors'!$E$3)+(('Network TDC'!H23*(1-'Network TDC'!T23)*'Fixed Factors'!$D$8+'Network TDC'!H23*'Network TDC'!T23*'Fixed Factors'!$E$8)*'Fixed Factors'!$I$9)</f>
        <v>25942010.733407225</v>
      </c>
      <c r="C23" s="115">
        <f>('Network TDC'!I23*(1-'Network TDC'!U23)*'Fixed Factors'!$D$4+'Network TDC'!I23*'Network TDC'!U23*'Fixed Factors'!$E$4)+(('Network TDC'!I23*(1-'Network TDC'!U23)*'Fixed Factors'!$D$9+'Network TDC'!I23*'Network TDC'!U23*'Fixed Factors'!$E$9)*'Fixed Factors'!$I$9)</f>
        <v>102010853.64243814</v>
      </c>
      <c r="D23" s="115">
        <f>('Network TDC'!J23*(1-'Network TDC'!V23)*'Fixed Factors'!$D$5+'Network TDC'!J23*'Network TDC'!V23*'Fixed Factors'!$E$5)+(('Network TDC'!J23*(1-'Network TDC'!V23)*'Fixed Factors'!$D$10+'Network TDC'!J23*'Network TDC'!V23*'Fixed Factors'!$E$10)*'Fixed Factors'!$I$8)</f>
        <v>82868616.065860569</v>
      </c>
      <c r="E23" s="115">
        <f>('Network TDC'!K23*(1-'Network TDC'!W23)*'Fixed Factors'!$D$3+'Network TDC'!K23*'Network TDC'!W23*'Fixed Factors'!$E$3)+(('Network TDC'!K23*(1-'Network TDC'!W23)*'Fixed Factors'!$D$8+'Network TDC'!K23*'Network TDC'!W23*'Fixed Factors'!$E$8)*'Fixed Factors'!$I$9)</f>
        <v>25818167.299841333</v>
      </c>
      <c r="F23" s="115">
        <f>('Network TDC'!L23*(1-'Network TDC'!X23)*'Fixed Factors'!$D$4+'Network TDC'!L23*'Network TDC'!X23*'Fixed Factors'!$E$4)+(('Network TDC'!L23*(1-'Network TDC'!X23)*'Fixed Factors'!$D$9+'Network TDC'!L23*'Network TDC'!X23*'Fixed Factors'!$E$9)*'Fixed Factors'!$I$9)</f>
        <v>101422459.7722121</v>
      </c>
      <c r="G23" s="115">
        <f>('Network TDC'!M23*(1-'Network TDC'!Y23)*'Fixed Factors'!$D$5+'Network TDC'!M23*'Network TDC'!Y23*'Fixed Factors'!$E$5)+(('Network TDC'!M23*(1-'Network TDC'!Y23)*'Fixed Factors'!$D$10+'Network TDC'!M23*'Network TDC'!Y23*'Fixed Factors'!$E$10)*'Fixed Factors'!$I$8)</f>
        <v>82576949.260900557</v>
      </c>
      <c r="H23" s="116">
        <f>'Network TDC'!N23*'Fixed Factors'!$I$13*'Fixed Factors'!$C$13</f>
        <v>46789950.942668639</v>
      </c>
      <c r="I23" s="116">
        <f>'Network TDC'!O23*'Fixed Factors'!$I$14*'Fixed Factors'!$C$14</f>
        <v>100289404.28466333</v>
      </c>
      <c r="J23" s="116">
        <f>'Network TDC'!P23*'Fixed Factors'!$I$15*'Fixed Factors'!$C$15</f>
        <v>45038370.823822998</v>
      </c>
      <c r="K23" s="117">
        <f>'Network TDC'!Q23*'Fixed Factors'!$I$13*'Fixed Factors'!$C$13</f>
        <v>45658751.274608701</v>
      </c>
      <c r="L23" s="117">
        <f>'Network TDC'!R23*'Fixed Factors'!$I$14*'Fixed Factors'!$C$14</f>
        <v>97864795.184821665</v>
      </c>
      <c r="M23" s="117">
        <f>'Network TDC'!S23*'Fixed Factors'!$I$15*'Fixed Factors'!$C$15</f>
        <v>41409797.004535101</v>
      </c>
      <c r="N23" s="117">
        <f>'Network TDC'!P23*'Network Shipper-Logistics'!$I$5*'Network Shipper-Logistics'!$I$7*SUMPRODUCT('Network Shipper-Logistics'!$D$6:$D$48,'Network Shipper-Logistics'!$N$6:$N$48)</f>
        <v>260585103.76136935</v>
      </c>
      <c r="O23" s="117">
        <f>'Network TDC'!S23*'Network Shipper-Logistics'!$I$5*'Network Shipper-Logistics'!$I$7*SUMPRODUCT('Network Shipper-Logistics'!$D$6:$D$48,'Network Shipper-Logistics'!$N$6:$N$48)</f>
        <v>239590732.34186018</v>
      </c>
      <c r="P23" s="116">
        <f>'Network TDC'!Z23*'Fixed Factors'!$D$13</f>
        <v>1690880.9908529816</v>
      </c>
      <c r="Q23" s="116">
        <f>'Network TDC'!AA23*'Fixed Factors'!$D$14</f>
        <v>3624227.9351112959</v>
      </c>
      <c r="R23" s="116">
        <f>'Network TDC'!AB23*'Fixed Factors'!$D$15</f>
        <v>3913227.2122687306</v>
      </c>
      <c r="S23" s="116">
        <f>'Network TDC'!AC23*'Fixed Factors'!$D$13</f>
        <v>1650002.0419110304</v>
      </c>
      <c r="T23" s="116">
        <f>'Network TDC'!AD23*'Fixed Factors'!$D$14</f>
        <v>3536608.1502093025</v>
      </c>
      <c r="U23" s="116">
        <f>'Network TDC'!AE23*'Fixed Factors'!$D$15</f>
        <v>3597953.0682081622</v>
      </c>
      <c r="V23" s="117">
        <f>'Network TDC'!AF23*'Fixed Factors'!$G$3</f>
        <v>28376914.117896553</v>
      </c>
      <c r="W23" s="117">
        <f>'Network TDC'!AG23*'Fixed Factors'!$H$3</f>
        <v>23145780.442428548</v>
      </c>
      <c r="X23" s="117">
        <f>'Network TDC'!AH23*'Fixed Factors'!$I$3</f>
        <v>2084896.6726710391</v>
      </c>
      <c r="Y23" s="117">
        <f>'Network TDC'!AI23*'Fixed Factors'!$G$3</f>
        <v>28230913.354805529</v>
      </c>
      <c r="Z23" s="117">
        <f>'Network TDC'!AJ23*'Fixed Factors'!$H$3</f>
        <v>23026694.145980239</v>
      </c>
      <c r="AA23" s="117">
        <f>'Network TDC'!AK23*'Fixed Factors'!$I$3</f>
        <v>2074169.7661472629</v>
      </c>
      <c r="AB23" s="117">
        <f>'Network TDC'!H23*'Network TDC'!T23*'Fixed Factors'!$E$29+'Network TDC'!H23*(1-'Network TDC'!T23)*'Fixed Factors'!$D$29</f>
        <v>582406.49606364721</v>
      </c>
      <c r="AC23" s="117">
        <f>'Network TDC'!I23*'Network TDC'!U23*'Fixed Factors'!$E$30+'Network TDC'!I23*(1-'Network TDC'!U23)*'Fixed Factors'!$D$30</f>
        <v>2290176.5187324323</v>
      </c>
      <c r="AD23" s="117">
        <f>'Network TDC'!J23*'Network TDC'!V23*'Fixed Factors'!$E$31+'Network TDC'!J23*(1-'Network TDC'!V23)*'Fixed Factors'!$D$31</f>
        <v>12505140.919895092</v>
      </c>
      <c r="AE23" s="117">
        <f>'Network TDC'!K23*'Network TDC'!W23*'Fixed Factors'!$E$29+'Network TDC'!K23*(1-'Network TDC'!W23)*'Fixed Factors'!$D$29</f>
        <v>579626.17109405191</v>
      </c>
      <c r="AF23" s="117">
        <f>'Network TDC'!L23*'Network TDC'!X23*'Fixed Factors'!$E$30+'Network TDC'!L23*(1-'Network TDC'!X23)*'Fixed Factors'!$D$30</f>
        <v>2276966.8868428585</v>
      </c>
      <c r="AG23" s="117">
        <f>'Network TDC'!M23*'Network TDC'!Y23*'Fixed Factors'!$E$31+'Network TDC'!M23*(1-'Network TDC'!Y23)*'Fixed Factors'!$D$31</f>
        <v>12461127.460145965</v>
      </c>
    </row>
    <row r="24" spans="1:33" x14ac:dyDescent="0.25">
      <c r="A24" s="70">
        <f>'Network TDC'!A24</f>
        <v>2039</v>
      </c>
      <c r="B24" s="115">
        <f>('Network TDC'!H24*(1-'Network TDC'!T24)*'Fixed Factors'!$D$3+'Network TDC'!H24*'Network TDC'!T24*'Fixed Factors'!$E$3)+(('Network TDC'!H24*(1-'Network TDC'!T24)*'Fixed Factors'!$D$8+'Network TDC'!H24*'Network TDC'!T24*'Fixed Factors'!$E$8)*'Fixed Factors'!$I$9)</f>
        <v>25945963.212159082</v>
      </c>
      <c r="C24" s="115">
        <f>('Network TDC'!I24*(1-'Network TDC'!U24)*'Fixed Factors'!$D$4+'Network TDC'!I24*'Network TDC'!U24*'Fixed Factors'!$E$4)+(('Network TDC'!I24*(1-'Network TDC'!U24)*'Fixed Factors'!$D$9+'Network TDC'!I24*'Network TDC'!U24*'Fixed Factors'!$E$9)*'Fixed Factors'!$I$9)</f>
        <v>102033981.97192571</v>
      </c>
      <c r="D24" s="115">
        <f>('Network TDC'!J24*(1-'Network TDC'!V24)*'Fixed Factors'!$D$5+'Network TDC'!J24*'Network TDC'!V24*'Fixed Factors'!$E$5)+(('Network TDC'!J24*(1-'Network TDC'!V24)*'Fixed Factors'!$D$10+'Network TDC'!J24*'Network TDC'!V24*'Fixed Factors'!$E$10)*'Fixed Factors'!$I$8)</f>
        <v>84382264.644588828</v>
      </c>
      <c r="E24" s="115">
        <f>('Network TDC'!K24*(1-'Network TDC'!W24)*'Fixed Factors'!$D$3+'Network TDC'!K24*'Network TDC'!W24*'Fixed Factors'!$E$3)+(('Network TDC'!K24*(1-'Network TDC'!W24)*'Fixed Factors'!$D$8+'Network TDC'!K24*'Network TDC'!W24*'Fixed Factors'!$E$8)*'Fixed Factors'!$I$9)</f>
        <v>25819951.327753309</v>
      </c>
      <c r="F24" s="115">
        <f>('Network TDC'!L24*(1-'Network TDC'!X24)*'Fixed Factors'!$D$4+'Network TDC'!L24*'Network TDC'!X24*'Fixed Factors'!$E$4)+(('Network TDC'!L24*(1-'Network TDC'!X24)*'Fixed Factors'!$D$9+'Network TDC'!L24*'Network TDC'!X24*'Fixed Factors'!$E$9)*'Fixed Factors'!$I$9)</f>
        <v>101430086.15912533</v>
      </c>
      <c r="G24" s="115">
        <f>('Network TDC'!M24*(1-'Network TDC'!Y24)*'Fixed Factors'!$D$5+'Network TDC'!M24*'Network TDC'!Y24*'Fixed Factors'!$E$5)+(('Network TDC'!M24*(1-'Network TDC'!Y24)*'Fixed Factors'!$D$10+'Network TDC'!M24*'Network TDC'!Y24*'Fixed Factors'!$E$10)*'Fixed Factors'!$I$8)</f>
        <v>84094078.900421292</v>
      </c>
      <c r="H24" s="116">
        <f>'Network TDC'!N24*'Fixed Factors'!$I$13*'Fixed Factors'!$C$13</f>
        <v>46802192.697166182</v>
      </c>
      <c r="I24" s="116">
        <f>'Network TDC'!O24*'Fixed Factors'!$I$14*'Fixed Factors'!$C$14</f>
        <v>100315643.21505809</v>
      </c>
      <c r="J24" s="116">
        <f>'Network TDC'!P24*'Fixed Factors'!$I$15*'Fixed Factors'!$C$15</f>
        <v>46012409.18488317</v>
      </c>
      <c r="K24" s="117">
        <f>'Network TDC'!Q24*'Fixed Factors'!$I$13*'Fixed Factors'!$C$13</f>
        <v>45681678.02825091</v>
      </c>
      <c r="L24" s="117">
        <f>'Network TDC'!R24*'Fixed Factors'!$I$14*'Fixed Factors'!$C$14</f>
        <v>97913936.302062333</v>
      </c>
      <c r="M24" s="117">
        <f>'Network TDC'!S24*'Fixed Factors'!$I$15*'Fixed Factors'!$C$15</f>
        <v>42270520.516163029</v>
      </c>
      <c r="N24" s="117">
        <f>'Network TDC'!P24*'Network Shipper-Logistics'!$I$5*'Network Shipper-Logistics'!$I$7*SUMPRODUCT('Network Shipper-Logistics'!$D$6:$D$48,'Network Shipper-Logistics'!$N$6:$N$48)</f>
        <v>266220740.2806673</v>
      </c>
      <c r="O24" s="117">
        <f>'Network TDC'!S24*'Network Shipper-Logistics'!$I$5*'Network Shipper-Logistics'!$I$7*SUMPRODUCT('Network Shipper-Logistics'!$D$6:$D$48,'Network Shipper-Logistics'!$N$6:$N$48)</f>
        <v>244570746.52720401</v>
      </c>
      <c r="P24" s="116">
        <f>'Network TDC'!Z24*'Fixed Factors'!$D$13</f>
        <v>1691323.3796471043</v>
      </c>
      <c r="Q24" s="116">
        <f>'Network TDC'!AA24*'Fixed Factors'!$D$14</f>
        <v>3625176.149583227</v>
      </c>
      <c r="R24" s="116">
        <f>'Network TDC'!AB24*'Fixed Factors'!$D$15</f>
        <v>3997858.0137514113</v>
      </c>
      <c r="S24" s="116">
        <f>'Network TDC'!AC24*'Fixed Factors'!$D$13</f>
        <v>1650830.5619486575</v>
      </c>
      <c r="T24" s="116">
        <f>'Network TDC'!AD24*'Fixed Factors'!$D$14</f>
        <v>3538383.9969314621</v>
      </c>
      <c r="U24" s="116">
        <f>'Network TDC'!AE24*'Fixed Factors'!$D$15</f>
        <v>3672738.3369985758</v>
      </c>
      <c r="V24" s="117">
        <f>'Network TDC'!AF24*'Fixed Factors'!$G$3</f>
        <v>28488385.637773041</v>
      </c>
      <c r="W24" s="117">
        <f>'Network TDC'!AG24*'Fixed Factors'!$H$3</f>
        <v>23236702.778589744</v>
      </c>
      <c r="X24" s="117">
        <f>'Network TDC'!AH24*'Fixed Factors'!$I$3</f>
        <v>2093086.6611920779</v>
      </c>
      <c r="Y24" s="117">
        <f>'Network TDC'!AI24*'Fixed Factors'!$G$3</f>
        <v>28339518.131786104</v>
      </c>
      <c r="Z24" s="117">
        <f>'Network TDC'!AJ24*'Fixed Factors'!$H$3</f>
        <v>23115278.208100155</v>
      </c>
      <c r="AA24" s="117">
        <f>'Network TDC'!AK24*'Fixed Factors'!$I$3</f>
        <v>2082149.1305426385</v>
      </c>
      <c r="AB24" s="117">
        <f>'Network TDC'!H24*'Network TDC'!T24*'Fixed Factors'!$E$29+'Network TDC'!H24*(1-'Network TDC'!T24)*'Fixed Factors'!$D$29</f>
        <v>582495.23048459447</v>
      </c>
      <c r="AC24" s="117">
        <f>'Network TDC'!I24*'Network TDC'!U24*'Fixed Factors'!$E$30+'Network TDC'!I24*(1-'Network TDC'!U24)*'Fixed Factors'!$D$30</f>
        <v>2290695.7571783289</v>
      </c>
      <c r="AD24" s="117">
        <f>'Network TDC'!J24*'Network TDC'!V24*'Fixed Factors'!$E$31+'Network TDC'!J24*(1-'Network TDC'!V24)*'Fixed Factors'!$D$31</f>
        <v>12733555.362887025</v>
      </c>
      <c r="AE24" s="117">
        <f>'Network TDC'!K24*'Network TDC'!W24*'Fixed Factors'!$E$29+'Network TDC'!K24*(1-'Network TDC'!W24)*'Fixed Factors'!$D$29</f>
        <v>579666.22309525462</v>
      </c>
      <c r="AF24" s="117">
        <f>'Network TDC'!L24*'Network TDC'!X24*'Fixed Factors'!$E$30+'Network TDC'!L24*(1-'Network TDC'!X24)*'Fixed Factors'!$D$30</f>
        <v>2277138.1016852777</v>
      </c>
      <c r="AG24" s="117">
        <f>'Network TDC'!M24*'Network TDC'!Y24*'Fixed Factors'!$E$31+'Network TDC'!M24*(1-'Network TDC'!Y24)*'Fixed Factors'!$D$31</f>
        <v>12690067.20641708</v>
      </c>
    </row>
    <row r="25" spans="1:33" x14ac:dyDescent="0.25">
      <c r="A25" s="70">
        <f>'Network TDC'!A25</f>
        <v>2040</v>
      </c>
      <c r="B25" s="115">
        <f>('Network TDC'!H25*(1-'Network TDC'!T25)*'Fixed Factors'!$D$3+'Network TDC'!H25*'Network TDC'!T25*'Fixed Factors'!$E$3)+(('Network TDC'!H25*(1-'Network TDC'!T25)*'Fixed Factors'!$D$8+'Network TDC'!H25*'Network TDC'!T25*'Fixed Factors'!$E$8)*'Fixed Factors'!$I$9)</f>
        <v>25949916.293103538</v>
      </c>
      <c r="C25" s="115">
        <f>('Network TDC'!I25*(1-'Network TDC'!U25)*'Fixed Factors'!$D$4+'Network TDC'!I25*'Network TDC'!U25*'Fixed Factors'!$E$4)+(('Network TDC'!I25*(1-'Network TDC'!U25)*'Fixed Factors'!$D$9+'Network TDC'!I25*'Network TDC'!U25*'Fixed Factors'!$E$9)*'Fixed Factors'!$I$9)</f>
        <v>102057115.54516542</v>
      </c>
      <c r="D25" s="115">
        <f>('Network TDC'!J25*(1-'Network TDC'!V25)*'Fixed Factors'!$D$5+'Network TDC'!J25*'Network TDC'!V25*'Fixed Factors'!$E$5)+(('Network TDC'!J25*(1-'Network TDC'!V25)*'Fixed Factors'!$D$10+'Network TDC'!J25*'Network TDC'!V25*'Fixed Factors'!$E$10)*'Fixed Factors'!$I$8)</f>
        <v>85923560.98828125</v>
      </c>
      <c r="E25" s="115">
        <f>('Network TDC'!K25*(1-'Network TDC'!W25)*'Fixed Factors'!$D$3+'Network TDC'!K25*'Network TDC'!W25*'Fixed Factors'!$E$3)+(('Network TDC'!K25*(1-'Network TDC'!W25)*'Fixed Factors'!$D$8+'Network TDC'!K25*'Network TDC'!W25*'Fixed Factors'!$E$8)*'Fixed Factors'!$I$9)</f>
        <v>25821735.478941165</v>
      </c>
      <c r="F25" s="115">
        <f>('Network TDC'!L25*(1-'Network TDC'!X25)*'Fixed Factors'!$D$4+'Network TDC'!L25*'Network TDC'!X25*'Fixed Factors'!$E$4)+(('Network TDC'!L25*(1-'Network TDC'!X25)*'Fixed Factors'!$D$9+'Network TDC'!L25*'Network TDC'!X25*'Fixed Factors'!$E$9)*'Fixed Factors'!$I$9)</f>
        <v>101437713.11949913</v>
      </c>
      <c r="G25" s="115">
        <f>('Network TDC'!M25*(1-'Network TDC'!Y25)*'Fixed Factors'!$D$5+'Network TDC'!M25*'Network TDC'!Y25*'Fixed Factors'!$E$5)+(('Network TDC'!M25*(1-'Network TDC'!Y25)*'Fixed Factors'!$D$10+'Network TDC'!M25*'Network TDC'!Y25*'Fixed Factors'!$E$10)*'Fixed Factors'!$I$8)</f>
        <v>85639081.722031251</v>
      </c>
      <c r="H25" s="116">
        <f>'Network TDC'!N25*'Fixed Factors'!$I$13*'Fixed Factors'!$C$13</f>
        <v>46814437.654499993</v>
      </c>
      <c r="I25" s="116">
        <f>'Network TDC'!O25*'Fixed Factors'!$I$14*'Fixed Factors'!$C$14</f>
        <v>100341889.01039998</v>
      </c>
      <c r="J25" s="116">
        <f>'Network TDC'!P25*'Fixed Factors'!$I$15*'Fixed Factors'!$C$15</f>
        <v>47007512.93333333</v>
      </c>
      <c r="K25" s="117">
        <f>'Network TDC'!Q25*'Fixed Factors'!$I$13*'Fixed Factors'!$C$13</f>
        <v>45704616.294166669</v>
      </c>
      <c r="L25" s="117">
        <f>'Network TDC'!R25*'Fixed Factors'!$I$14*'Fixed Factors'!$C$14</f>
        <v>97963102.09466666</v>
      </c>
      <c r="M25" s="117">
        <f>'Network TDC'!S25*'Fixed Factors'!$I$15*'Fixed Factors'!$C$15</f>
        <v>43149134.600000001</v>
      </c>
      <c r="N25" s="117">
        <f>'Network TDC'!P25*'Network Shipper-Logistics'!$I$5*'Network Shipper-Logistics'!$I$7*SUMPRODUCT('Network Shipper-Logistics'!$D$6:$D$48,'Network Shipper-Logistics'!$N$6:$N$48)</f>
        <v>271978257.89953405</v>
      </c>
      <c r="O25" s="117">
        <f>'Network TDC'!S25*'Network Shipper-Logistics'!$I$5*'Network Shipper-Logistics'!$I$7*SUMPRODUCT('Network Shipper-Logistics'!$D$6:$D$48,'Network Shipper-Logistics'!$N$6:$N$48)</f>
        <v>249654272.81856254</v>
      </c>
      <c r="P25" s="116">
        <f>'Network TDC'!Z25*'Fixed Factors'!$D$13</f>
        <v>1691765.8841843482</v>
      </c>
      <c r="Q25" s="116">
        <f>'Network TDC'!AA25*'Fixed Factors'!$D$14</f>
        <v>3626124.612138527</v>
      </c>
      <c r="R25" s="116">
        <f>'Network TDC'!AB25*'Fixed Factors'!$D$15</f>
        <v>4084319.1133923871</v>
      </c>
      <c r="S25" s="116">
        <f>'Network TDC'!AC25*'Fixed Factors'!$D$13</f>
        <v>1651659.4980133181</v>
      </c>
      <c r="T25" s="116">
        <f>'Network TDC'!AD25*'Fixed Factors'!$D$14</f>
        <v>3540160.7353643947</v>
      </c>
      <c r="U25" s="116">
        <f>'Network TDC'!AE25*'Fixed Factors'!$D$15</f>
        <v>3749078.0553112719</v>
      </c>
      <c r="V25" s="117">
        <f>'Network TDC'!AF25*'Fixed Factors'!$G$3</f>
        <v>28601807.168102395</v>
      </c>
      <c r="W25" s="117">
        <f>'Network TDC'!AG25*'Fixed Factors'!$H$3</f>
        <v>23329215.651114944</v>
      </c>
      <c r="X25" s="117">
        <f>'Network TDC'!AH25*'Fixed Factors'!$I$3</f>
        <v>2101419.9200591436</v>
      </c>
      <c r="Y25" s="117">
        <f>'Network TDC'!AI25*'Fixed Factors'!$G$3</f>
        <v>28450087.902720004</v>
      </c>
      <c r="Z25" s="117">
        <f>'Network TDC'!AJ25*'Fixed Factors'!$H$3</f>
        <v>23205465.027955651</v>
      </c>
      <c r="AA25" s="117">
        <f>'Network TDC'!AK25*'Fixed Factors'!$I$3</f>
        <v>2090272.8661454709</v>
      </c>
      <c r="AB25" s="117">
        <f>'Network TDC'!H25*'Network TDC'!T25*'Fixed Factors'!$E$29+'Network TDC'!H25*(1-'Network TDC'!T25)*'Fixed Factors'!$D$29</f>
        <v>582583.97842495947</v>
      </c>
      <c r="AC25" s="117">
        <f>'Network TDC'!I25*'Network TDC'!U25*'Fixed Factors'!$E$30+'Network TDC'!I25*(1-'Network TDC'!U25)*'Fixed Factors'!$D$30</f>
        <v>2291215.1133481506</v>
      </c>
      <c r="AD25" s="117">
        <f>'Network TDC'!J25*'Network TDC'!V25*'Fixed Factors'!$E$31+'Network TDC'!J25*(1-'Network TDC'!V25)*'Fixed Factors'!$D$31</f>
        <v>12966141.942610696</v>
      </c>
      <c r="AE25" s="117">
        <f>'Network TDC'!K25*'Network TDC'!W25*'Fixed Factors'!$E$29+'Network TDC'!K25*(1-'Network TDC'!W25)*'Fixed Factors'!$D$29</f>
        <v>579706.27786404046</v>
      </c>
      <c r="AF25" s="117">
        <f>'Network TDC'!L25*'Network TDC'!X25*'Fixed Factors'!$E$30+'Network TDC'!L25*(1-'Network TDC'!X25)*'Fixed Factors'!$D$30</f>
        <v>2277309.3294020719</v>
      </c>
      <c r="AG25" s="117">
        <f>'Network TDC'!M25*'Network TDC'!Y25*'Fixed Factors'!$E$31+'Network TDC'!M25*(1-'Network TDC'!Y25)*'Fixed Factors'!$D$31</f>
        <v>12923213.105589727</v>
      </c>
    </row>
    <row r="26" spans="1:33" x14ac:dyDescent="0.25">
      <c r="A26" s="70">
        <f>'Network TDC'!A26</f>
        <v>2041</v>
      </c>
      <c r="B26" s="115">
        <f>('Network TDC'!H26*(1-'Network TDC'!T26)*'Fixed Factors'!$D$3+'Network TDC'!H26*'Network TDC'!T26*'Fixed Factors'!$E$3)+(('Network TDC'!H26*(1-'Network TDC'!T26)*'Fixed Factors'!$D$8+'Network TDC'!H26*'Network TDC'!T26*'Fixed Factors'!$E$8)*'Fixed Factors'!$I$9)</f>
        <v>25953869.976332448</v>
      </c>
      <c r="C26" s="115">
        <f>('Network TDC'!I26*(1-'Network TDC'!U26)*'Fixed Factors'!$D$4+'Network TDC'!I26*'Network TDC'!U26*'Fixed Factors'!$E$4)+(('Network TDC'!I26*(1-'Network TDC'!U26)*'Fixed Factors'!$D$9+'Network TDC'!I26*'Network TDC'!U26*'Fixed Factors'!$E$9)*'Fixed Factors'!$I$9)</f>
        <v>102080254.363346</v>
      </c>
      <c r="D26" s="115">
        <f>('Network TDC'!J26*(1-'Network TDC'!V26)*'Fixed Factors'!$D$5+'Network TDC'!J26*'Network TDC'!V26*'Fixed Factors'!$E$5)+(('Network TDC'!J26*(1-'Network TDC'!V26)*'Fixed Factors'!$D$10+'Network TDC'!J26*'Network TDC'!V26*'Fixed Factors'!$E$10)*'Fixed Factors'!$I$8)</f>
        <v>87493010.101149485</v>
      </c>
      <c r="E26" s="115">
        <f>('Network TDC'!K26*(1-'Network TDC'!W26)*'Fixed Factors'!$D$3+'Network TDC'!K26*'Network TDC'!W26*'Fixed Factors'!$E$3)+(('Network TDC'!K26*(1-'Network TDC'!W26)*'Fixed Factors'!$D$8+'Network TDC'!K26*'Network TDC'!W26*'Fixed Factors'!$E$8)*'Fixed Factors'!$I$9)</f>
        <v>25823519.75341329</v>
      </c>
      <c r="F26" s="115">
        <f>('Network TDC'!L26*(1-'Network TDC'!X26)*'Fixed Factors'!$D$4+'Network TDC'!L26*'Network TDC'!X26*'Fixed Factors'!$E$4)+(('Network TDC'!L26*(1-'Network TDC'!X26)*'Fixed Factors'!$D$9+'Network TDC'!L26*'Network TDC'!X26*'Fixed Factors'!$E$9)*'Fixed Factors'!$I$9)</f>
        <v>101445340.65337653</v>
      </c>
      <c r="G26" s="115">
        <f>('Network TDC'!M26*(1-'Network TDC'!Y26)*'Fixed Factors'!$D$5+'Network TDC'!M26*'Network TDC'!Y26*'Fixed Factors'!$E$5)+(('Network TDC'!M26*(1-'Network TDC'!Y26)*'Fixed Factors'!$D$10+'Network TDC'!M26*'Network TDC'!Y26*'Fixed Factors'!$E$10)*'Fixed Factors'!$I$8)</f>
        <v>87212469.820583239</v>
      </c>
      <c r="H26" s="116">
        <f>'Network TDC'!N26*'Fixed Factors'!$I$13*'Fixed Factors'!$C$13</f>
        <v>46826685.815508105</v>
      </c>
      <c r="I26" s="116">
        <f>'Network TDC'!O26*'Fixed Factors'!$I$14*'Fixed Factors'!$C$14</f>
        <v>100368141.67248529</v>
      </c>
      <c r="J26" s="116">
        <f>'Network TDC'!P26*'Fixed Factors'!$I$15*'Fixed Factors'!$C$15</f>
        <v>48024137.647273481</v>
      </c>
      <c r="K26" s="117">
        <f>'Network TDC'!Q26*'Fixed Factors'!$I$13*'Fixed Factors'!$C$13</f>
        <v>45727566.078136578</v>
      </c>
      <c r="L26" s="117">
        <f>'Network TDC'!R26*'Fixed Factors'!$I$14*'Fixed Factors'!$C$14</f>
        <v>98012292.575024799</v>
      </c>
      <c r="M26" s="117">
        <f>'Network TDC'!S26*'Fixed Factors'!$I$15*'Fixed Factors'!$C$15</f>
        <v>44046011.120610595</v>
      </c>
      <c r="N26" s="117">
        <f>'Network TDC'!P26*'Network Shipper-Logistics'!$I$5*'Network Shipper-Logistics'!$I$7*SUMPRODUCT('Network Shipper-Logistics'!$D$6:$D$48,'Network Shipper-Logistics'!$N$6:$N$48)</f>
        <v>277860292.5229609</v>
      </c>
      <c r="O26" s="117">
        <f>'Network TDC'!S26*'Network Shipper-Logistics'!$I$5*'Network Shipper-Logistics'!$I$7*SUMPRODUCT('Network Shipper-Logistics'!$D$6:$D$48,'Network Shipper-Logistics'!$N$6:$N$48)</f>
        <v>254843462.76725456</v>
      </c>
      <c r="P26" s="116">
        <f>'Network TDC'!Z26*'Fixed Factors'!$D$13</f>
        <v>1692208.5044949974</v>
      </c>
      <c r="Q26" s="116">
        <f>'Network TDC'!AA26*'Fixed Factors'!$D$14</f>
        <v>3627073.3228421076</v>
      </c>
      <c r="R26" s="116">
        <f>'Network TDC'!AB26*'Fixed Factors'!$D$15</f>
        <v>4172650.0947863939</v>
      </c>
      <c r="S26" s="116">
        <f>'Network TDC'!AC26*'Fixed Factors'!$D$13</f>
        <v>1652488.8503139103</v>
      </c>
      <c r="T26" s="116">
        <f>'Network TDC'!AD26*'Fixed Factors'!$D$14</f>
        <v>3541938.3659558529</v>
      </c>
      <c r="U26" s="116">
        <f>'Network TDC'!AE26*'Fixed Factors'!$D$15</f>
        <v>3827004.5331633934</v>
      </c>
      <c r="V26" s="117">
        <f>'Network TDC'!AF26*'Fixed Factors'!$G$3</f>
        <v>28717214.308499202</v>
      </c>
      <c r="W26" s="117">
        <f>'Network TDC'!AG26*'Fixed Factors'!$H$3</f>
        <v>23423348.09701851</v>
      </c>
      <c r="X26" s="117">
        <f>'Network TDC'!AH26*'Fixed Factors'!$I$3</f>
        <v>2109899.0648321137</v>
      </c>
      <c r="Y26" s="117">
        <f>'Network TDC'!AI26*'Fixed Factors'!$G$3</f>
        <v>28562658.766847659</v>
      </c>
      <c r="Z26" s="117">
        <f>'Network TDC'!AJ26*'Fixed Factors'!$H$3</f>
        <v>23297284.05008357</v>
      </c>
      <c r="AA26" s="117">
        <f>'Network TDC'!AK26*'Fixed Factors'!$I$3</f>
        <v>2098543.6252239379</v>
      </c>
      <c r="AB26" s="117">
        <f>'Network TDC'!H26*'Network TDC'!T26*'Fixed Factors'!$E$29+'Network TDC'!H26*(1-'Network TDC'!T26)*'Fixed Factors'!$D$29</f>
        <v>582672.73988680448</v>
      </c>
      <c r="AC26" s="117">
        <f>'Network TDC'!I26*'Network TDC'!U26*'Fixed Factors'!$E$30+'Network TDC'!I26*(1-'Network TDC'!U26)*'Fixed Factors'!$D$30</f>
        <v>2291734.5872685839</v>
      </c>
      <c r="AD26" s="117">
        <f>'Network TDC'!J26*'Network TDC'!V26*'Fixed Factors'!$E$31+'Network TDC'!J26*(1-'Network TDC'!V26)*'Fixed Factors'!$D$31</f>
        <v>13202976.865827268</v>
      </c>
      <c r="AE26" s="117">
        <f>'Network TDC'!K26*'Network TDC'!W26*'Fixed Factors'!$E$29+'Network TDC'!K26*(1-'Network TDC'!W26)*'Fixed Factors'!$D$29</f>
        <v>579746.33540059777</v>
      </c>
      <c r="AF26" s="117">
        <f>'Network TDC'!L26*'Network TDC'!X26*'Fixed Factors'!$E$30+'Network TDC'!L26*(1-'Network TDC'!X26)*'Fixed Factors'!$D$30</f>
        <v>2277480.5699942061</v>
      </c>
      <c r="AG26" s="117">
        <f>'Network TDC'!M26*'Network TDC'!Y26*'Fixed Factors'!$E$31+'Network TDC'!M26*(1-'Network TDC'!Y26)*'Fixed Factors'!$D$31</f>
        <v>13160642.434425643</v>
      </c>
    </row>
    <row r="27" spans="1:33" x14ac:dyDescent="0.25">
      <c r="A27" s="70">
        <f>'Network TDC'!A27</f>
        <v>2042</v>
      </c>
      <c r="B27" s="115">
        <f>('Network TDC'!H27*(1-'Network TDC'!T27)*'Fixed Factors'!$D$3+'Network TDC'!H27*'Network TDC'!T27*'Fixed Factors'!$E$3)+(('Network TDC'!H27*(1-'Network TDC'!T27)*'Fixed Factors'!$D$8+'Network TDC'!H27*'Network TDC'!T27*'Fixed Factors'!$E$8)*'Fixed Factors'!$I$9)</f>
        <v>25957824.261937529</v>
      </c>
      <c r="C27" s="115">
        <f>('Network TDC'!I27*(1-'Network TDC'!U27)*'Fixed Factors'!$D$4+'Network TDC'!I27*'Network TDC'!U27*'Fixed Factors'!$E$4)+(('Network TDC'!I27*(1-'Network TDC'!U27)*'Fixed Factors'!$D$9+'Network TDC'!I27*'Network TDC'!U27*'Fixed Factors'!$E$9)*'Fixed Factors'!$I$9)</f>
        <v>102103398.42765668</v>
      </c>
      <c r="D27" s="115">
        <f>('Network TDC'!J27*(1-'Network TDC'!V27)*'Fixed Factors'!$D$5+'Network TDC'!J27*'Network TDC'!V27*'Fixed Factors'!$E$5)+(('Network TDC'!J27*(1-'Network TDC'!V27)*'Fixed Factors'!$D$10+'Network TDC'!J27*'Network TDC'!V27*'Fixed Factors'!$E$10)*'Fixed Factors'!$I$8)</f>
        <v>89091126.211632252</v>
      </c>
      <c r="E27" s="115">
        <f>('Network TDC'!K27*(1-'Network TDC'!W27)*'Fixed Factors'!$D$3+'Network TDC'!K27*'Network TDC'!W27*'Fixed Factors'!$E$3)+(('Network TDC'!K27*(1-'Network TDC'!W27)*'Fixed Factors'!$D$8+'Network TDC'!K27*'Network TDC'!W27*'Fixed Factors'!$E$8)*'Fixed Factors'!$I$9)</f>
        <v>25825304.151178263</v>
      </c>
      <c r="F27" s="115">
        <f>('Network TDC'!L27*(1-'Network TDC'!X27)*'Fixed Factors'!$D$4+'Network TDC'!L27*'Network TDC'!X27*'Fixed Factors'!$E$4)+(('Network TDC'!L27*(1-'Network TDC'!X27)*'Fixed Factors'!$D$9+'Network TDC'!L27*'Network TDC'!X27*'Fixed Factors'!$E$9)*'Fixed Factors'!$I$9)</f>
        <v>101452968.76080072</v>
      </c>
      <c r="G27" s="115">
        <f>('Network TDC'!M27*(1-'Network TDC'!Y27)*'Fixed Factors'!$D$5+'Network TDC'!M27*'Network TDC'!Y27*'Fixed Factors'!$E$5)+(('Network TDC'!M27*(1-'Network TDC'!Y27)*'Fixed Factors'!$D$10+'Network TDC'!M27*'Network TDC'!Y27*'Fixed Factors'!$E$10)*'Fixed Factors'!$I$8)</f>
        <v>88814764.699297845</v>
      </c>
      <c r="H27" s="116">
        <f>'Network TDC'!N27*'Fixed Factors'!$I$13*'Fixed Factors'!$C$13</f>
        <v>46838937.181028657</v>
      </c>
      <c r="I27" s="116">
        <f>'Network TDC'!O27*'Fixed Factors'!$I$14*'Fixed Factors'!$C$14</f>
        <v>100394401.20311047</v>
      </c>
      <c r="J27" s="116">
        <f>'Network TDC'!P27*'Fixed Factors'!$I$15*'Fixed Factors'!$C$15</f>
        <v>49062748.757525623</v>
      </c>
      <c r="K27" s="117">
        <f>'Network TDC'!Q27*'Fixed Factors'!$I$13*'Fixed Factors'!$C$13</f>
        <v>45750527.385944262</v>
      </c>
      <c r="L27" s="117">
        <f>'Network TDC'!R27*'Fixed Factors'!$I$14*'Fixed Factors'!$C$14</f>
        <v>98061507.755533352</v>
      </c>
      <c r="M27" s="117">
        <f>'Network TDC'!S27*'Fixed Factors'!$I$15*'Fixed Factors'!$C$15</f>
        <v>44961529.671952032</v>
      </c>
      <c r="N27" s="117">
        <f>'Network TDC'!P27*'Network Shipper-Logistics'!$I$5*'Network Shipper-Logistics'!$I$7*SUMPRODUCT('Network Shipper-Logistics'!$D$6:$D$48,'Network Shipper-Logistics'!$N$6:$N$48)</f>
        <v>283869537.06227732</v>
      </c>
      <c r="O27" s="117">
        <f>'Network TDC'!S27*'Network Shipper-Logistics'!$I$5*'Network Shipper-Logistics'!$I$7*SUMPRODUCT('Network Shipper-Logistics'!$D$6:$D$48,'Network Shipper-Logistics'!$N$6:$N$48)</f>
        <v>260140512.64567903</v>
      </c>
      <c r="P27" s="116">
        <f>'Network TDC'!Z27*'Fixed Factors'!$D$13</f>
        <v>1692651.2406093415</v>
      </c>
      <c r="Q27" s="116">
        <f>'Network TDC'!AA27*'Fixed Factors'!$D$14</f>
        <v>3628022.28175889</v>
      </c>
      <c r="R27" s="116">
        <f>'Network TDC'!AB27*'Fixed Factors'!$D$15</f>
        <v>4262891.3975968752</v>
      </c>
      <c r="S27" s="116">
        <f>'Network TDC'!AC27*'Fixed Factors'!$D$13</f>
        <v>1653318.6190594409</v>
      </c>
      <c r="T27" s="116">
        <f>'Network TDC'!AD27*'Fixed Factors'!$D$14</f>
        <v>3543716.8891538205</v>
      </c>
      <c r="U27" s="116">
        <f>'Network TDC'!AE27*'Fixed Factors'!$D$15</f>
        <v>3906550.7521520942</v>
      </c>
      <c r="V27" s="117">
        <f>'Network TDC'!AF27*'Fixed Factors'!$G$3</f>
        <v>28834643.308823869</v>
      </c>
      <c r="W27" s="117">
        <f>'Network TDC'!AG27*'Fixed Factors'!$H$3</f>
        <v>23519129.683691263</v>
      </c>
      <c r="X27" s="117">
        <f>'Network TDC'!AH27*'Fixed Factors'!$I$3</f>
        <v>2118526.7588454518</v>
      </c>
      <c r="Y27" s="117">
        <f>'Network TDC'!AI27*'Fixed Factors'!$G$3</f>
        <v>28677267.486636039</v>
      </c>
      <c r="Z27" s="117">
        <f>'Network TDC'!AJ27*'Fixed Factors'!$H$3</f>
        <v>23390765.259984996</v>
      </c>
      <c r="AA27" s="117">
        <f>'Network TDC'!AK27*'Fixed Factors'!$I$3</f>
        <v>2106964.1087745144</v>
      </c>
      <c r="AB27" s="117">
        <f>'Network TDC'!H27*'Network TDC'!T27*'Fixed Factors'!$E$29+'Network TDC'!H27*(1-'Network TDC'!T27)*'Fixed Factors'!$D$29</f>
        <v>582761.51487218845</v>
      </c>
      <c r="AC27" s="117">
        <f>'Network TDC'!I27*'Network TDC'!U27*'Fixed Factors'!$E$30+'Network TDC'!I27*(1-'Network TDC'!U27)*'Fixed Factors'!$D$30</f>
        <v>2292254.1789663276</v>
      </c>
      <c r="AD27" s="117">
        <f>'Network TDC'!J27*'Network TDC'!V27*'Fixed Factors'!$E$31+'Network TDC'!J27*(1-'Network TDC'!V27)*'Fixed Factors'!$D$31</f>
        <v>13444137.731263449</v>
      </c>
      <c r="AE27" s="117">
        <f>'Network TDC'!K27*'Network TDC'!W27*'Fixed Factors'!$E$29+'Network TDC'!K27*(1-'Network TDC'!W27)*'Fixed Factors'!$D$29</f>
        <v>579786.39570511936</v>
      </c>
      <c r="AF27" s="117">
        <f>'Network TDC'!L27*'Network TDC'!X27*'Fixed Factors'!$E$30+'Network TDC'!L27*(1-'Network TDC'!X27)*'Fixed Factors'!$D$30</f>
        <v>2277651.8234626502</v>
      </c>
      <c r="AG27" s="117">
        <f>'Network TDC'!M27*'Network TDC'!Y27*'Fixed Factors'!$E$31+'Network TDC'!M27*(1-'Network TDC'!Y27)*'Fixed Factors'!$D$31</f>
        <v>13402433.889439538</v>
      </c>
    </row>
    <row r="28" spans="1:33" x14ac:dyDescent="0.25">
      <c r="A28" s="70">
        <f>'Network TDC'!A28</f>
        <v>2043</v>
      </c>
      <c r="B28" s="115">
        <f>('Network TDC'!H28*(1-'Network TDC'!T28)*'Fixed Factors'!$D$3+'Network TDC'!H28*'Network TDC'!T28*'Fixed Factors'!$E$3)+(('Network TDC'!H28*(1-'Network TDC'!T28)*'Fixed Factors'!$D$8+'Network TDC'!H28*'Network TDC'!T28*'Fixed Factors'!$E$8)*'Fixed Factors'!$I$9)</f>
        <v>25961779.150010545</v>
      </c>
      <c r="C28" s="115">
        <f>('Network TDC'!I28*(1-'Network TDC'!U28)*'Fixed Factors'!$D$4+'Network TDC'!I28*'Network TDC'!U28*'Fixed Factors'!$E$4)+(('Network TDC'!I28*(1-'Network TDC'!U28)*'Fixed Factors'!$D$9+'Network TDC'!I28*'Network TDC'!U28*'Fixed Factors'!$E$9)*'Fixed Factors'!$I$9)</f>
        <v>102126547.73928691</v>
      </c>
      <c r="D28" s="115">
        <f>('Network TDC'!J28*(1-'Network TDC'!V28)*'Fixed Factors'!$D$5+'Network TDC'!J28*'Network TDC'!V28*'Fixed Factors'!$E$5)+(('Network TDC'!J28*(1-'Network TDC'!V28)*'Fixed Factors'!$D$10+'Network TDC'!J28*'Network TDC'!V28*'Fixed Factors'!$E$10)*'Fixed Factors'!$I$8)</f>
        <v>90718432.940881371</v>
      </c>
      <c r="E28" s="115">
        <f>('Network TDC'!K28*(1-'Network TDC'!W28)*'Fixed Factors'!$D$3+'Network TDC'!K28*'Network TDC'!W28*'Fixed Factors'!$E$3)+(('Network TDC'!K28*(1-'Network TDC'!W28)*'Fixed Factors'!$D$8+'Network TDC'!K28*'Network TDC'!W28*'Fixed Factors'!$E$8)*'Fixed Factors'!$I$9)</f>
        <v>25827088.672244608</v>
      </c>
      <c r="F28" s="115">
        <f>('Network TDC'!L28*(1-'Network TDC'!X28)*'Fixed Factors'!$D$4+'Network TDC'!L28*'Network TDC'!X28*'Fixed Factors'!$E$4)+(('Network TDC'!L28*(1-'Network TDC'!X28)*'Fixed Factors'!$D$9+'Network TDC'!L28*'Network TDC'!X28*'Fixed Factors'!$E$9)*'Fixed Factors'!$I$9)</f>
        <v>101460597.44181478</v>
      </c>
      <c r="G28" s="115">
        <f>('Network TDC'!M28*(1-'Network TDC'!Y28)*'Fixed Factors'!$D$5+'Network TDC'!M28*'Network TDC'!Y28*'Fixed Factors'!$E$5)+(('Network TDC'!M28*(1-'Network TDC'!Y28)*'Fixed Factors'!$D$10+'Network TDC'!M28*'Network TDC'!Y28*'Fixed Factors'!$E$10)*'Fixed Factors'!$I$8)</f>
        <v>90446497.442616373</v>
      </c>
      <c r="H28" s="116">
        <f>'Network TDC'!N28*'Fixed Factors'!$I$13*'Fixed Factors'!$C$13</f>
        <v>46851191.751900069</v>
      </c>
      <c r="I28" s="116">
        <f>'Network TDC'!O28*'Fixed Factors'!$I$14*'Fixed Factors'!$C$14</f>
        <v>100420667.60407259</v>
      </c>
      <c r="J28" s="116">
        <f>'Network TDC'!P28*'Fixed Factors'!$I$15*'Fixed Factors'!$C$15</f>
        <v>50123821.760717146</v>
      </c>
      <c r="K28" s="117">
        <f>'Network TDC'!Q28*'Fixed Factors'!$I$13*'Fixed Factors'!$C$13</f>
        <v>45773500.223376237</v>
      </c>
      <c r="L28" s="117">
        <f>'Network TDC'!R28*'Fixed Factors'!$I$14*'Fixed Factors'!$C$14</f>
        <v>98110747.648595095</v>
      </c>
      <c r="M28" s="117">
        <f>'Network TDC'!S28*'Fixed Factors'!$I$15*'Fixed Factors'!$C$15</f>
        <v>45896077.738033295</v>
      </c>
      <c r="N28" s="117">
        <f>'Network TDC'!P28*'Network Shipper-Logistics'!$I$5*'Network Shipper-Logistics'!$I$7*SUMPRODUCT('Network Shipper-Logistics'!$D$6:$D$48,'Network Shipper-Logistics'!$N$6:$N$48)</f>
        <v>290008742.66801822</v>
      </c>
      <c r="O28" s="117">
        <f>'Network TDC'!S28*'Network Shipper-Logistics'!$I$5*'Network Shipper-Logistics'!$I$7*SUMPRODUCT('Network Shipper-Logistics'!$D$6:$D$48,'Network Shipper-Logistics'!$N$6:$N$48)</f>
        <v>265547664.37686372</v>
      </c>
      <c r="P28" s="116">
        <f>'Network TDC'!Z28*'Fixed Factors'!$D$13</f>
        <v>1693094.0925576778</v>
      </c>
      <c r="Q28" s="116">
        <f>'Network TDC'!AA28*'Fixed Factors'!$D$14</f>
        <v>3628971.4889538148</v>
      </c>
      <c r="R28" s="116">
        <f>'Network TDC'!AB28*'Fixed Factors'!$D$15</f>
        <v>4355084.3360700505</v>
      </c>
      <c r="S28" s="116">
        <f>'Network TDC'!AC28*'Fixed Factors'!$D$13</f>
        <v>1654148.804459021</v>
      </c>
      <c r="T28" s="116">
        <f>'Network TDC'!AD28*'Fixed Factors'!$D$14</f>
        <v>3545496.3054065052</v>
      </c>
      <c r="U28" s="116">
        <f>'Network TDC'!AE28*'Fixed Factors'!$D$15</f>
        <v>3987750.3794136541</v>
      </c>
      <c r="V28" s="117">
        <f>'Network TDC'!AF28*'Fixed Factors'!$G$3</f>
        <v>28954131.081059739</v>
      </c>
      <c r="W28" s="117">
        <f>'Network TDC'!AG28*'Fixed Factors'!$H$3</f>
        <v>23616590.518588111</v>
      </c>
      <c r="X28" s="117">
        <f>'Network TDC'!AH28*'Fixed Factors'!$I$3</f>
        <v>2127305.714080839</v>
      </c>
      <c r="Y28" s="117">
        <f>'Network TDC'!AI28*'Fixed Factors'!$G$3</f>
        <v>28793951.499963477</v>
      </c>
      <c r="Z28" s="117">
        <f>'Network TDC'!AJ28*'Fixed Factors'!$H$3</f>
        <v>23485939.194063853</v>
      </c>
      <c r="AA28" s="117">
        <f>'Network TDC'!AK28*'Fixed Factors'!$I$3</f>
        <v>2115537.0674172183</v>
      </c>
      <c r="AB28" s="117">
        <f>'Network TDC'!H28*'Network TDC'!T28*'Fixed Factors'!$E$29+'Network TDC'!H28*(1-'Network TDC'!T28)*'Fixed Factors'!$D$29</f>
        <v>582850.30338317167</v>
      </c>
      <c r="AC28" s="117">
        <f>'Network TDC'!I28*'Network TDC'!U28*'Fixed Factors'!$E$30+'Network TDC'!I28*(1-'Network TDC'!U28)*'Fixed Factors'!$D$30</f>
        <v>2292773.8884680853</v>
      </c>
      <c r="AD28" s="117">
        <f>'Network TDC'!J28*'Network TDC'!V28*'Fixed Factors'!$E$31+'Network TDC'!J28*(1-'Network TDC'!V28)*'Fixed Factors'!$D$31</f>
        <v>13689703.555036599</v>
      </c>
      <c r="AE28" s="117">
        <f>'Network TDC'!K28*'Network TDC'!W28*'Fixed Factors'!$E$29+'Network TDC'!K28*(1-'Network TDC'!W28)*'Fixed Factors'!$D$29</f>
        <v>579826.45877779648</v>
      </c>
      <c r="AF28" s="117">
        <f>'Network TDC'!L28*'Network TDC'!X28*'Fixed Factors'!$E$30+'Network TDC'!L28*(1-'Network TDC'!X28)*'Fixed Factors'!$D$30</f>
        <v>2277823.0898083723</v>
      </c>
      <c r="AG28" s="117">
        <f>'Network TDC'!M28*'Network TDC'!Y28*'Fixed Factors'!$E$31+'Network TDC'!M28*(1-'Network TDC'!Y28)*'Fixed Factors'!$D$31</f>
        <v>13648667.61298318</v>
      </c>
    </row>
    <row r="29" spans="1:33" x14ac:dyDescent="0.25">
      <c r="A29" s="70">
        <f>'Network TDC'!A29</f>
        <v>2044</v>
      </c>
      <c r="B29" s="115">
        <f>('Network TDC'!H29*(1-'Network TDC'!T29)*'Fixed Factors'!$D$3+'Network TDC'!H29*'Network TDC'!T29*'Fixed Factors'!$E$3)+(('Network TDC'!H29*(1-'Network TDC'!T29)*'Fixed Factors'!$D$8+'Network TDC'!H29*'Network TDC'!T29*'Fixed Factors'!$E$8)*'Fixed Factors'!$I$9)</f>
        <v>25965734.640643306</v>
      </c>
      <c r="C29" s="115">
        <f>('Network TDC'!I29*(1-'Network TDC'!U29)*'Fixed Factors'!$D$4+'Network TDC'!I29*'Network TDC'!U29*'Fixed Factors'!$E$4)+(('Network TDC'!I29*(1-'Network TDC'!U29)*'Fixed Factors'!$D$9+'Network TDC'!I29*'Network TDC'!U29*'Fixed Factors'!$E$9)*'Fixed Factors'!$I$9)</f>
        <v>102149702.29942638</v>
      </c>
      <c r="D29" s="115">
        <f>('Network TDC'!J29*(1-'Network TDC'!V29)*'Fixed Factors'!$D$5+'Network TDC'!J29*'Network TDC'!V29*'Fixed Factors'!$E$5)+(('Network TDC'!J29*(1-'Network TDC'!V29)*'Fixed Factors'!$D$10+'Network TDC'!J29*'Network TDC'!V29*'Fixed Factors'!$E$10)*'Fixed Factors'!$I$8)</f>
        <v>92375463.474325866</v>
      </c>
      <c r="E29" s="115">
        <f>('Network TDC'!K29*(1-'Network TDC'!W29)*'Fixed Factors'!$D$3+'Network TDC'!K29*'Network TDC'!W29*'Fixed Factors'!$E$3)+(('Network TDC'!K29*(1-'Network TDC'!W29)*'Fixed Factors'!$D$8+'Network TDC'!K29*'Network TDC'!W29*'Fixed Factors'!$E$8)*'Fixed Factors'!$I$9)</f>
        <v>25828873.316620842</v>
      </c>
      <c r="F29" s="115">
        <f>('Network TDC'!L29*(1-'Network TDC'!X29)*'Fixed Factors'!$D$4+'Network TDC'!L29*'Network TDC'!X29*'Fixed Factors'!$E$4)+(('Network TDC'!L29*(1-'Network TDC'!X29)*'Fixed Factors'!$D$9+'Network TDC'!L29*'Network TDC'!X29*'Fixed Factors'!$E$9)*'Fixed Factors'!$I$9)</f>
        <v>101468226.69646189</v>
      </c>
      <c r="G29" s="115">
        <f>('Network TDC'!M29*(1-'Network TDC'!Y29)*'Fixed Factors'!$D$5+'Network TDC'!M29*'Network TDC'!Y29*'Fixed Factors'!$E$5)+(('Network TDC'!M29*(1-'Network TDC'!Y29)*'Fixed Factors'!$D$10+'Network TDC'!M29*'Network TDC'!Y29*'Fixed Factors'!$E$10)*'Fixed Factors'!$I$8)</f>
        <v>92108208.892230332</v>
      </c>
      <c r="H29" s="116">
        <f>'Network TDC'!N29*'Fixed Factors'!$I$13*'Fixed Factors'!$C$13</f>
        <v>46863449.528960943</v>
      </c>
      <c r="I29" s="116">
        <f>'Network TDC'!O29*'Fixed Factors'!$I$14*'Fixed Factors'!$C$14</f>
        <v>100446940.8771691</v>
      </c>
      <c r="J29" s="116">
        <f>'Network TDC'!P29*'Fixed Factors'!$I$15*'Fixed Factors'!$C$15</f>
        <v>51207842.436972536</v>
      </c>
      <c r="K29" s="117">
        <f>'Network TDC'!Q29*'Fixed Factors'!$I$13*'Fixed Factors'!$C$13</f>
        <v>45796484.596221887</v>
      </c>
      <c r="L29" s="117">
        <f>'Network TDC'!R29*'Fixed Factors'!$I$14*'Fixed Factors'!$C$14</f>
        <v>98160012.266618997</v>
      </c>
      <c r="M29" s="117">
        <f>'Network TDC'!S29*'Fixed Factors'!$I$15*'Fixed Factors'!$C$15</f>
        <v>46850050.856913887</v>
      </c>
      <c r="N29" s="117">
        <f>'Network TDC'!P29*'Network Shipper-Logistics'!$I$5*'Network Shipper-Logistics'!$I$7*SUMPRODUCT('Network Shipper-Logistics'!$D$6:$D$48,'Network Shipper-Logistics'!$N$6:$N$48)</f>
        <v>296280719.98945498</v>
      </c>
      <c r="O29" s="117">
        <f>'Network TDC'!S29*'Network Shipper-Logistics'!$I$5*'Network Shipper-Logistics'!$I$7*SUMPRODUCT('Network Shipper-Logistics'!$D$6:$D$48,'Network Shipper-Logistics'!$N$6:$N$48)</f>
        <v>271067206.48333716</v>
      </c>
      <c r="P29" s="116">
        <f>'Network TDC'!Z29*'Fixed Factors'!$D$13</f>
        <v>1693537.0603703123</v>
      </c>
      <c r="Q29" s="116">
        <f>'Network TDC'!AA29*'Fixed Factors'!$D$14</f>
        <v>3629920.944491839</v>
      </c>
      <c r="R29" s="116">
        <f>'Network TDC'!AB29*'Fixed Factors'!$D$15</f>
        <v>4449271.1179493964</v>
      </c>
      <c r="S29" s="116">
        <f>'Network TDC'!AC29*'Fixed Factors'!$D$13</f>
        <v>1654979.4067218665</v>
      </c>
      <c r="T29" s="116">
        <f>'Network TDC'!AD29*'Fixed Factors'!$D$14</f>
        <v>3547276.61516234</v>
      </c>
      <c r="U29" s="116">
        <f>'Network TDC'!AE29*'Fixed Factors'!$D$15</f>
        <v>4070637.7818727545</v>
      </c>
      <c r="V29" s="117">
        <f>'Network TDC'!AF29*'Fixed Factors'!$G$3</f>
        <v>29075715.211407203</v>
      </c>
      <c r="W29" s="117">
        <f>'Network TDC'!AG29*'Fixed Factors'!$H$3</f>
        <v>23715761.25909267</v>
      </c>
      <c r="X29" s="117">
        <f>'Network TDC'!AH29*'Fixed Factors'!$I$3</f>
        <v>2136238.6920557469</v>
      </c>
      <c r="Y29" s="117">
        <f>'Network TDC'!AI29*'Fixed Factors'!$G$3</f>
        <v>28912748.932528611</v>
      </c>
      <c r="Z29" s="117">
        <f>'Network TDC'!AJ29*'Fixed Factors'!$H$3</f>
        <v>23582836.949748382</v>
      </c>
      <c r="AA29" s="117">
        <f>'Network TDC'!AK29*'Fixed Factors'!$I$3</f>
        <v>2124265.3023073082</v>
      </c>
      <c r="AB29" s="117">
        <f>'Network TDC'!H29*'Network TDC'!T29*'Fixed Factors'!$E$29+'Network TDC'!H29*(1-'Network TDC'!T29)*'Fixed Factors'!$D$29</f>
        <v>582939.10542181507</v>
      </c>
      <c r="AC29" s="117">
        <f>'Network TDC'!I29*'Network TDC'!U29*'Fixed Factors'!$E$30+'Network TDC'!I29*(1-'Network TDC'!U29)*'Fixed Factors'!$D$30</f>
        <v>2293293.7158005657</v>
      </c>
      <c r="AD29" s="117">
        <f>'Network TDC'!J29*'Network TDC'!V29*'Fixed Factors'!$E$31+'Network TDC'!J29*(1-'Network TDC'!V29)*'Fixed Factors'!$D$31</f>
        <v>13939754.796544285</v>
      </c>
      <c r="AE29" s="117">
        <f>'Network TDC'!K29*'Network TDC'!W29*'Fixed Factors'!$E$29+'Network TDC'!K29*(1-'Network TDC'!W29)*'Fixed Factors'!$D$29</f>
        <v>579866.52461882029</v>
      </c>
      <c r="AF29" s="117">
        <f>'Network TDC'!L29*'Network TDC'!X29*'Fixed Factors'!$E$30+'Network TDC'!L29*(1-'Network TDC'!X29)*'Fixed Factors'!$D$30</f>
        <v>2277994.3690323406</v>
      </c>
      <c r="AG29" s="117">
        <f>'Network TDC'!M29*'Network TDC'!Y29*'Fixed Factors'!$E$31+'Network TDC'!M29*(1-'Network TDC'!Y29)*'Fixed Factors'!$D$31</f>
        <v>13899425.219808795</v>
      </c>
    </row>
    <row r="30" spans="1:33" x14ac:dyDescent="0.25">
      <c r="N30" s="110">
        <f>SUM(N5:N29)</f>
        <v>5798195371.1310358</v>
      </c>
      <c r="O30" s="110">
        <f>SUM(O5:O29)</f>
        <v>5415994271.0226059</v>
      </c>
    </row>
    <row r="31" spans="1:33" x14ac:dyDescent="0.25">
      <c r="L31" s="110"/>
      <c r="O31" s="110">
        <f>N30-O30</f>
        <v>382201100.10842991</v>
      </c>
      <c r="T31" s="110"/>
    </row>
    <row r="32" spans="1:33" x14ac:dyDescent="0.25">
      <c r="L32" s="110"/>
    </row>
    <row r="33" spans="12:12" x14ac:dyDescent="0.25">
      <c r="L33" s="110"/>
    </row>
    <row r="34" spans="12:12" x14ac:dyDescent="0.25">
      <c r="L34" s="110"/>
    </row>
    <row r="35" spans="12:12" x14ac:dyDescent="0.25">
      <c r="L35" s="110"/>
    </row>
    <row r="36" spans="12:12" x14ac:dyDescent="0.25">
      <c r="L36" s="110"/>
    </row>
    <row r="37" spans="12:12" x14ac:dyDescent="0.25">
      <c r="L37" s="110"/>
    </row>
    <row r="38" spans="12:12" x14ac:dyDescent="0.25">
      <c r="L38" s="110"/>
    </row>
    <row r="39" spans="12:12" x14ac:dyDescent="0.25">
      <c r="L39" s="110"/>
    </row>
    <row r="40" spans="12:12" x14ac:dyDescent="0.25">
      <c r="L40" s="110"/>
    </row>
    <row r="41" spans="12:12" x14ac:dyDescent="0.25">
      <c r="L41" s="110"/>
    </row>
    <row r="42" spans="12:12" x14ac:dyDescent="0.25">
      <c r="L42" s="110"/>
    </row>
    <row r="43" spans="12:12" x14ac:dyDescent="0.25">
      <c r="L43" s="110"/>
    </row>
    <row r="44" spans="12:12" x14ac:dyDescent="0.25">
      <c r="L44" s="110"/>
    </row>
    <row r="45" spans="12:12" x14ac:dyDescent="0.25">
      <c r="L45" s="110"/>
    </row>
    <row r="46" spans="12:12" x14ac:dyDescent="0.25">
      <c r="L46" s="110"/>
    </row>
    <row r="47" spans="12:12" x14ac:dyDescent="0.25">
      <c r="L47" s="110"/>
    </row>
    <row r="48" spans="12:12" x14ac:dyDescent="0.25">
      <c r="L48" s="110"/>
    </row>
    <row r="49" spans="12:12" x14ac:dyDescent="0.25">
      <c r="L49" s="110"/>
    </row>
    <row r="50" spans="12:12" x14ac:dyDescent="0.25">
      <c r="L50" s="110"/>
    </row>
    <row r="51" spans="12:12" x14ac:dyDescent="0.25">
      <c r="L51" s="110"/>
    </row>
    <row r="52" spans="12:12" x14ac:dyDescent="0.25">
      <c r="L52" s="110"/>
    </row>
    <row r="53" spans="12:12" x14ac:dyDescent="0.25">
      <c r="L53" s="110"/>
    </row>
    <row r="54" spans="12:12" x14ac:dyDescent="0.25">
      <c r="L54" s="110"/>
    </row>
    <row r="55" spans="12:12" x14ac:dyDescent="0.25">
      <c r="L55" s="110"/>
    </row>
    <row r="56" spans="12:12" x14ac:dyDescent="0.25">
      <c r="L56" s="110"/>
    </row>
    <row r="57" spans="12:12" x14ac:dyDescent="0.25">
      <c r="L57" s="110"/>
    </row>
    <row r="58" spans="12:12" x14ac:dyDescent="0.25">
      <c r="L58" s="110"/>
    </row>
    <row r="59" spans="12:12" x14ac:dyDescent="0.25">
      <c r="L59" s="110"/>
    </row>
    <row r="60" spans="12:12" x14ac:dyDescent="0.25">
      <c r="L60" s="110"/>
    </row>
    <row r="61" spans="12:12" x14ac:dyDescent="0.25">
      <c r="L61" s="110"/>
    </row>
    <row r="62" spans="12:12" x14ac:dyDescent="0.25">
      <c r="L62" s="110"/>
    </row>
    <row r="63" spans="12:12" x14ac:dyDescent="0.25">
      <c r="L63" s="110"/>
    </row>
    <row r="64" spans="12:12" x14ac:dyDescent="0.25">
      <c r="L64" s="110"/>
    </row>
    <row r="65" spans="12:12" x14ac:dyDescent="0.25">
      <c r="L65" s="110"/>
    </row>
    <row r="66" spans="12:12" x14ac:dyDescent="0.25">
      <c r="L66" s="110"/>
    </row>
    <row r="67" spans="12:12" x14ac:dyDescent="0.25">
      <c r="L67" s="110"/>
    </row>
    <row r="68" spans="12:12" x14ac:dyDescent="0.25">
      <c r="L68" s="110"/>
    </row>
    <row r="69" spans="12:12" x14ac:dyDescent="0.25">
      <c r="L69" s="110"/>
    </row>
    <row r="70" spans="12:12" x14ac:dyDescent="0.25">
      <c r="L70" s="110"/>
    </row>
    <row r="71" spans="12:12" x14ac:dyDescent="0.25">
      <c r="L71" s="110"/>
    </row>
    <row r="72" spans="12:12" x14ac:dyDescent="0.25">
      <c r="L72" s="110"/>
    </row>
    <row r="73" spans="12:12" x14ac:dyDescent="0.25">
      <c r="L73" s="110"/>
    </row>
    <row r="74" spans="12:12" x14ac:dyDescent="0.25">
      <c r="L74" s="110"/>
    </row>
    <row r="75" spans="12:12" x14ac:dyDescent="0.25">
      <c r="L75" s="110"/>
    </row>
    <row r="76" spans="12:12" x14ac:dyDescent="0.25">
      <c r="L76" s="110"/>
    </row>
    <row r="77" spans="12:12" x14ac:dyDescent="0.25">
      <c r="L77" s="110"/>
    </row>
    <row r="78" spans="12:12" x14ac:dyDescent="0.25">
      <c r="L78" s="110"/>
    </row>
    <row r="79" spans="12:12" x14ac:dyDescent="0.25">
      <c r="L79" s="110"/>
    </row>
    <row r="80" spans="12:12" x14ac:dyDescent="0.25">
      <c r="L80" s="110"/>
    </row>
    <row r="81" spans="12:12" x14ac:dyDescent="0.25">
      <c r="L81" s="110"/>
    </row>
    <row r="82" spans="12:12" x14ac:dyDescent="0.25">
      <c r="L82" s="110"/>
    </row>
    <row r="83" spans="12:12" x14ac:dyDescent="0.25">
      <c r="L83" s="110"/>
    </row>
    <row r="84" spans="12:12" x14ac:dyDescent="0.25">
      <c r="L84" s="110"/>
    </row>
    <row r="85" spans="12:12" x14ac:dyDescent="0.25">
      <c r="L85" s="110"/>
    </row>
    <row r="86" spans="12:12" x14ac:dyDescent="0.25">
      <c r="L86" s="110"/>
    </row>
    <row r="87" spans="12:12" x14ac:dyDescent="0.25">
      <c r="L87" s="110"/>
    </row>
    <row r="88" spans="12:12" x14ac:dyDescent="0.25">
      <c r="L88" s="110"/>
    </row>
    <row r="89" spans="12:12" x14ac:dyDescent="0.25">
      <c r="L89" s="110"/>
    </row>
    <row r="90" spans="12:12" x14ac:dyDescent="0.25">
      <c r="L90" s="110"/>
    </row>
    <row r="91" spans="12:12" x14ac:dyDescent="0.25">
      <c r="L91" s="110"/>
    </row>
    <row r="92" spans="12:12" x14ac:dyDescent="0.25">
      <c r="L92" s="110"/>
    </row>
    <row r="93" spans="12:12" x14ac:dyDescent="0.25">
      <c r="L93" s="110"/>
    </row>
    <row r="94" spans="12:12" x14ac:dyDescent="0.25">
      <c r="L94" s="110"/>
    </row>
    <row r="95" spans="12:12" x14ac:dyDescent="0.25">
      <c r="L95" s="110"/>
    </row>
    <row r="96" spans="12:12" x14ac:dyDescent="0.25">
      <c r="L96" s="110"/>
    </row>
    <row r="97" spans="12:12" x14ac:dyDescent="0.25">
      <c r="L97" s="110"/>
    </row>
    <row r="98" spans="12:12" x14ac:dyDescent="0.25">
      <c r="L98" s="110"/>
    </row>
    <row r="99" spans="12:12" x14ac:dyDescent="0.25">
      <c r="L99" s="110"/>
    </row>
    <row r="100" spans="12:12" x14ac:dyDescent="0.25">
      <c r="L100" s="110"/>
    </row>
    <row r="101" spans="12:12" x14ac:dyDescent="0.25">
      <c r="L101" s="110"/>
    </row>
    <row r="102" spans="12:12" x14ac:dyDescent="0.25">
      <c r="L102" s="110"/>
    </row>
    <row r="103" spans="12:12" x14ac:dyDescent="0.25">
      <c r="L103" s="110"/>
    </row>
    <row r="104" spans="12:12" x14ac:dyDescent="0.25">
      <c r="L104" s="110"/>
    </row>
    <row r="105" spans="12:12" x14ac:dyDescent="0.25">
      <c r="L105" s="110"/>
    </row>
    <row r="106" spans="12:12" x14ac:dyDescent="0.25">
      <c r="L106" s="110"/>
    </row>
    <row r="107" spans="12:12" x14ac:dyDescent="0.25">
      <c r="L107" s="110"/>
    </row>
    <row r="108" spans="12:12" x14ac:dyDescent="0.25">
      <c r="L108" s="110"/>
    </row>
    <row r="109" spans="12:12" x14ac:dyDescent="0.25">
      <c r="L109" s="110"/>
    </row>
    <row r="110" spans="12:12" x14ac:dyDescent="0.25">
      <c r="L110" s="110"/>
    </row>
    <row r="111" spans="12:12" x14ac:dyDescent="0.25">
      <c r="L111" s="110"/>
    </row>
    <row r="112" spans="12:12" x14ac:dyDescent="0.25">
      <c r="L112" s="110"/>
    </row>
    <row r="113" spans="12:12" x14ac:dyDescent="0.25">
      <c r="L113" s="110"/>
    </row>
    <row r="114" spans="12:12" x14ac:dyDescent="0.25">
      <c r="L114" s="110"/>
    </row>
    <row r="115" spans="12:12" x14ac:dyDescent="0.25">
      <c r="L115" s="110"/>
    </row>
    <row r="116" spans="12:12" x14ac:dyDescent="0.25">
      <c r="L116" s="110"/>
    </row>
    <row r="117" spans="12:12" x14ac:dyDescent="0.25">
      <c r="L117" s="110"/>
    </row>
    <row r="118" spans="12:12" x14ac:dyDescent="0.25">
      <c r="L118" s="110"/>
    </row>
    <row r="119" spans="12:12" x14ac:dyDescent="0.25">
      <c r="L119" s="110"/>
    </row>
    <row r="120" spans="12:12" x14ac:dyDescent="0.25">
      <c r="L120" s="110"/>
    </row>
    <row r="121" spans="12:12" x14ac:dyDescent="0.25">
      <c r="L121" s="110"/>
    </row>
    <row r="122" spans="12:12" x14ac:dyDescent="0.25">
      <c r="L122" s="110"/>
    </row>
    <row r="123" spans="12:12" x14ac:dyDescent="0.25">
      <c r="L123" s="110"/>
    </row>
    <row r="124" spans="12:12" x14ac:dyDescent="0.25">
      <c r="L124" s="110"/>
    </row>
    <row r="125" spans="12:12" x14ac:dyDescent="0.25">
      <c r="L125" s="110"/>
    </row>
    <row r="126" spans="12:12" x14ac:dyDescent="0.25">
      <c r="L126" s="110"/>
    </row>
    <row r="127" spans="12:12" x14ac:dyDescent="0.25">
      <c r="L127" s="110"/>
    </row>
    <row r="128" spans="12:12" x14ac:dyDescent="0.25">
      <c r="L128" s="110"/>
    </row>
    <row r="129" spans="12:12" x14ac:dyDescent="0.25">
      <c r="L129" s="110"/>
    </row>
    <row r="130" spans="12:12" x14ac:dyDescent="0.25">
      <c r="L130" s="110"/>
    </row>
    <row r="131" spans="12:12" x14ac:dyDescent="0.25">
      <c r="L131" s="110"/>
    </row>
    <row r="132" spans="12:12" x14ac:dyDescent="0.25">
      <c r="L132" s="110"/>
    </row>
    <row r="133" spans="12:12" x14ac:dyDescent="0.25">
      <c r="L133" s="110"/>
    </row>
    <row r="134" spans="12:12" x14ac:dyDescent="0.25">
      <c r="L134" s="110"/>
    </row>
    <row r="135" spans="12:12" x14ac:dyDescent="0.25">
      <c r="L135" s="110"/>
    </row>
    <row r="136" spans="12:12" x14ac:dyDescent="0.25">
      <c r="L136" s="110"/>
    </row>
    <row r="137" spans="12:12" x14ac:dyDescent="0.25">
      <c r="L137" s="110"/>
    </row>
    <row r="138" spans="12:12" x14ac:dyDescent="0.25">
      <c r="L138" s="110"/>
    </row>
  </sheetData>
  <mergeCells count="21">
    <mergeCell ref="A1:A3"/>
    <mergeCell ref="Y2:AA2"/>
    <mergeCell ref="V3:X3"/>
    <mergeCell ref="Y3:AA3"/>
    <mergeCell ref="B3:D3"/>
    <mergeCell ref="B2:D2"/>
    <mergeCell ref="E2:G2"/>
    <mergeCell ref="E3:G3"/>
    <mergeCell ref="H2:J2"/>
    <mergeCell ref="K2:M2"/>
    <mergeCell ref="H3:J3"/>
    <mergeCell ref="K3:M3"/>
    <mergeCell ref="P2:R2"/>
    <mergeCell ref="S2:U2"/>
    <mergeCell ref="P3:R3"/>
    <mergeCell ref="AB2:AD2"/>
    <mergeCell ref="AE2:AG2"/>
    <mergeCell ref="AB3:AD3"/>
    <mergeCell ref="AE3:AG3"/>
    <mergeCell ref="S3:U3"/>
    <mergeCell ref="V2:X2"/>
  </mergeCells>
  <pageMargins left="0.7" right="0.7" top="0.75" bottom="0.75" header="0.3" footer="0.3"/>
  <pageSetup scale="94" fitToWidth="0" orientation="landscape" r:id="rId1"/>
  <colBreaks count="3" manualBreakCount="3">
    <brk id="7" max="1048575" man="1"/>
    <brk id="15" max="1048575" man="1"/>
    <brk id="2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J35"/>
  <sheetViews>
    <sheetView zoomScale="90" zoomScaleNormal="90" workbookViewId="0">
      <pane xSplit="1" ySplit="2" topLeftCell="P13" activePane="bottomRight" state="frozen"/>
      <selection activeCell="G14" sqref="G14"/>
      <selection pane="topRight" activeCell="G14" sqref="G14"/>
      <selection pane="bottomLeft" activeCell="G14" sqref="G14"/>
      <selection pane="bottomRight" activeCell="E28" sqref="E28"/>
    </sheetView>
  </sheetViews>
  <sheetFormatPr defaultColWidth="9.140625" defaultRowHeight="15" x14ac:dyDescent="0.25"/>
  <cols>
    <col min="1" max="1" width="7.42578125" style="54" customWidth="1"/>
    <col min="2" max="2" width="16.28515625" style="54" customWidth="1"/>
    <col min="3" max="3" width="16" style="54" customWidth="1"/>
    <col min="4" max="4" width="16.42578125" style="54" customWidth="1"/>
    <col min="5" max="5" width="14.140625" style="54" customWidth="1"/>
    <col min="6" max="6" width="12.7109375" style="54" customWidth="1"/>
    <col min="7" max="7" width="14.7109375" style="54" customWidth="1"/>
    <col min="8" max="8" width="6" style="54" customWidth="1"/>
    <col min="9" max="9" width="9.140625" style="54"/>
    <col min="10" max="10" width="15.28515625" style="54" customWidth="1"/>
    <col min="11" max="11" width="16.5703125" style="54" customWidth="1"/>
    <col min="12" max="12" width="15" style="54" customWidth="1"/>
    <col min="13" max="14" width="9.140625" style="54"/>
    <col min="15" max="15" width="14.7109375" style="54" customWidth="1"/>
    <col min="16" max="16" width="9.85546875" style="54" customWidth="1"/>
    <col min="17" max="17" width="1.85546875" style="54" customWidth="1"/>
    <col min="18" max="18" width="9.140625" style="54"/>
    <col min="19" max="19" width="12.7109375" style="54" customWidth="1"/>
    <col min="20" max="20" width="17" style="54" customWidth="1"/>
    <col min="21" max="21" width="15.5703125" style="54" customWidth="1"/>
    <col min="22" max="23" width="9.140625" style="54"/>
    <col min="24" max="24" width="15.7109375" style="54" customWidth="1"/>
    <col min="25" max="25" width="9.42578125" style="54" customWidth="1"/>
    <col min="26" max="26" width="10.85546875" style="54" customWidth="1"/>
    <col min="27" max="27" width="1.28515625" style="54" customWidth="1"/>
    <col min="28" max="28" width="8.42578125" style="54" customWidth="1"/>
    <col min="29" max="29" width="12.5703125" style="54" customWidth="1"/>
    <col min="30" max="30" width="15.7109375" style="54" customWidth="1"/>
    <col min="31" max="31" width="16.140625" style="54" customWidth="1"/>
    <col min="32" max="33" width="9.7109375" style="54" customWidth="1"/>
    <col min="34" max="34" width="11.5703125" style="54" customWidth="1"/>
    <col min="35" max="36" width="10.42578125" style="54" customWidth="1"/>
    <col min="37" max="16384" width="9.140625" style="54"/>
  </cols>
  <sheetData>
    <row r="1" spans="1:36" s="48" customFormat="1" ht="30.75" customHeight="1" x14ac:dyDescent="0.25">
      <c r="A1" s="345" t="s">
        <v>76</v>
      </c>
      <c r="B1" s="345"/>
      <c r="C1" s="345"/>
      <c r="D1" s="345"/>
      <c r="E1" s="345"/>
      <c r="F1" s="345"/>
      <c r="G1" s="345"/>
      <c r="H1" s="63"/>
      <c r="I1" s="345" t="s">
        <v>91</v>
      </c>
      <c r="J1" s="345"/>
      <c r="K1" s="345"/>
      <c r="L1" s="345"/>
      <c r="M1" s="345"/>
      <c r="N1" s="345"/>
      <c r="O1" s="345"/>
      <c r="P1" s="345"/>
      <c r="Q1" s="63"/>
      <c r="R1" s="345" t="s">
        <v>92</v>
      </c>
      <c r="S1" s="345"/>
      <c r="T1" s="345"/>
      <c r="U1" s="345"/>
      <c r="V1" s="345"/>
      <c r="W1" s="345"/>
      <c r="X1" s="345"/>
      <c r="Y1" s="345"/>
      <c r="Z1" s="147">
        <v>2018</v>
      </c>
      <c r="AA1" s="63"/>
      <c r="AB1" s="345" t="s">
        <v>194</v>
      </c>
      <c r="AC1" s="345"/>
      <c r="AD1" s="345"/>
      <c r="AE1" s="345"/>
      <c r="AF1" s="345"/>
      <c r="AG1" s="345"/>
      <c r="AH1" s="345"/>
      <c r="AI1" s="345"/>
      <c r="AJ1" s="48">
        <f>Z1</f>
        <v>2018</v>
      </c>
    </row>
    <row r="2" spans="1:36" s="69" customFormat="1" ht="45" x14ac:dyDescent="0.25">
      <c r="A2" s="64" t="s">
        <v>0</v>
      </c>
      <c r="B2" s="167" t="s">
        <v>50</v>
      </c>
      <c r="C2" s="167" t="s">
        <v>49</v>
      </c>
      <c r="D2" s="167" t="s">
        <v>48</v>
      </c>
      <c r="E2" s="167" t="s">
        <v>89</v>
      </c>
      <c r="F2" s="167" t="s">
        <v>47</v>
      </c>
      <c r="G2" s="167" t="s">
        <v>105</v>
      </c>
      <c r="H2" s="65"/>
      <c r="I2" s="64" t="s">
        <v>0</v>
      </c>
      <c r="J2" s="64" t="s">
        <v>50</v>
      </c>
      <c r="K2" s="64" t="s">
        <v>49</v>
      </c>
      <c r="L2" s="64" t="s">
        <v>48</v>
      </c>
      <c r="M2" s="64" t="s">
        <v>47</v>
      </c>
      <c r="N2" s="64" t="s">
        <v>106</v>
      </c>
      <c r="O2" s="167" t="s">
        <v>89</v>
      </c>
      <c r="P2" s="64" t="s">
        <v>51</v>
      </c>
      <c r="Q2" s="66"/>
      <c r="R2" s="67" t="s">
        <v>0</v>
      </c>
      <c r="S2" s="67" t="s">
        <v>50</v>
      </c>
      <c r="T2" s="67" t="s">
        <v>49</v>
      </c>
      <c r="U2" s="67" t="s">
        <v>48</v>
      </c>
      <c r="V2" s="67" t="s">
        <v>47</v>
      </c>
      <c r="W2" s="64" t="s">
        <v>106</v>
      </c>
      <c r="X2" s="67" t="s">
        <v>89</v>
      </c>
      <c r="Y2" s="67" t="s">
        <v>51</v>
      </c>
      <c r="Z2" s="67" t="s">
        <v>107</v>
      </c>
      <c r="AA2" s="68"/>
      <c r="AB2" s="67" t="s">
        <v>0</v>
      </c>
      <c r="AC2" s="67" t="s">
        <v>50</v>
      </c>
      <c r="AD2" s="67" t="s">
        <v>49</v>
      </c>
      <c r="AE2" s="67" t="s">
        <v>48</v>
      </c>
      <c r="AF2" s="67" t="s">
        <v>47</v>
      </c>
      <c r="AG2" s="67" t="s">
        <v>106</v>
      </c>
      <c r="AH2" s="67" t="s">
        <v>89</v>
      </c>
      <c r="AI2" s="67" t="s">
        <v>51</v>
      </c>
      <c r="AJ2" s="67" t="s">
        <v>127</v>
      </c>
    </row>
    <row r="3" spans="1:36" x14ac:dyDescent="0.25">
      <c r="A3" s="70">
        <f>'Network Benefit Calculations'!A5</f>
        <v>2020</v>
      </c>
      <c r="B3" s="71">
        <f>SUM('Network Benefit Calculations'!B5:D5)-SUM('Network Benefit Calculations'!E5:G5)</f>
        <v>0</v>
      </c>
      <c r="C3" s="71">
        <f>('Network Benefit Calculations'!H5-'Network Benefit Calculations'!K5)+('Network Benefit Calculations'!J5-'Network Benefit Calculations'!M5)+('Network Benefit Calculations'!P5-'Network Benefit Calculations'!S5)+('Network Benefit Calculations'!R5-'Network Benefit Calculations'!U5)</f>
        <v>0</v>
      </c>
      <c r="D3" s="71">
        <f>('Network Benefit Calculations'!I5-'Network Benefit Calculations'!L5)+('Network Benefit Calculations'!Q5-'Network Benefit Calculations'!T5)</f>
        <v>0</v>
      </c>
      <c r="E3" s="71">
        <f>'Network Benefit Calculations'!N5-'Network Benefit Calculations'!O5</f>
        <v>0</v>
      </c>
      <c r="F3" s="71">
        <f>SUM('Network Benefit Calculations'!V5:X5)-SUM('Network Benefit Calculations'!Y5:AA5)</f>
        <v>0</v>
      </c>
      <c r="G3" s="71">
        <f>SUM('Network Benefit Calculations'!AB5:AD5)-SUM('Network Benefit Calculations'!AE5:AG5)</f>
        <v>0</v>
      </c>
      <c r="H3" s="72"/>
      <c r="I3" s="70">
        <f t="shared" ref="I3:I4" si="0">A3</f>
        <v>2020</v>
      </c>
      <c r="J3" s="75">
        <f t="shared" ref="J3:J4" si="1">B3/1000000</f>
        <v>0</v>
      </c>
      <c r="K3" s="75">
        <f t="shared" ref="K3:K4" si="2">C3/1000000</f>
        <v>0</v>
      </c>
      <c r="L3" s="75">
        <f t="shared" ref="L3:L4" si="3">D3/1000000</f>
        <v>0</v>
      </c>
      <c r="M3" s="75">
        <f t="shared" ref="M3:M4" si="4">F3/1000000</f>
        <v>0</v>
      </c>
      <c r="N3" s="73">
        <f t="shared" ref="N3:N4" si="5">G3/1000000</f>
        <v>0</v>
      </c>
      <c r="O3" s="169">
        <f t="shared" ref="O3:O27" si="6">E3/1000000</f>
        <v>0</v>
      </c>
      <c r="P3" s="75">
        <f t="shared" ref="P3:P4" si="7">SUM(J3:O3)</f>
        <v>0</v>
      </c>
      <c r="Q3" s="72"/>
      <c r="R3" s="74">
        <f t="shared" ref="R3:R4" si="8">I3</f>
        <v>2020</v>
      </c>
      <c r="S3" s="75">
        <f t="shared" ref="S3:S4" si="9">J3*$Z3</f>
        <v>0</v>
      </c>
      <c r="T3" s="75">
        <f t="shared" ref="T3:T4" si="10">K3*$Z3</f>
        <v>0</v>
      </c>
      <c r="U3" s="75">
        <f t="shared" ref="U3:U4" si="11">L3*$Z3</f>
        <v>0</v>
      </c>
      <c r="V3" s="75">
        <f t="shared" ref="V3:V4" si="12">M3*$Z3</f>
        <v>0</v>
      </c>
      <c r="W3" s="75">
        <f t="shared" ref="W3:W4" si="13">N3*$Z3</f>
        <v>0</v>
      </c>
      <c r="X3" s="75">
        <f t="shared" ref="X3:X4" si="14">O3*$Z3</f>
        <v>0</v>
      </c>
      <c r="Y3" s="75">
        <f t="shared" ref="Y3:Y4" si="15">SUM(S3:X3)</f>
        <v>0</v>
      </c>
      <c r="Z3" s="76">
        <f t="shared" ref="Z3:Z27" si="16">1/((1+0.03)^(R3-$Z$1))</f>
        <v>0.94259590913375435</v>
      </c>
      <c r="AA3" s="72"/>
      <c r="AB3" s="74">
        <f t="shared" ref="AB3:AB4" si="17">R3</f>
        <v>2020</v>
      </c>
      <c r="AC3" s="75">
        <f t="shared" ref="AC3:AC4" si="18">J3*$AJ3</f>
        <v>0</v>
      </c>
      <c r="AD3" s="75">
        <f t="shared" ref="AD3:AD4" si="19">K3*$AJ3</f>
        <v>0</v>
      </c>
      <c r="AE3" s="75">
        <f t="shared" ref="AE3:AE4" si="20">L3*$AJ3</f>
        <v>0</v>
      </c>
      <c r="AF3" s="75">
        <f t="shared" ref="AF3:AF4" si="21">M3*$AJ3</f>
        <v>0</v>
      </c>
      <c r="AG3" s="75">
        <f t="shared" ref="AG3:AG6" si="22">N3*$AJ3</f>
        <v>0</v>
      </c>
      <c r="AH3" s="75">
        <f t="shared" ref="AH3:AH4" si="23">O3*$AJ3</f>
        <v>0</v>
      </c>
      <c r="AI3" s="75">
        <f t="shared" ref="AI3:AI4" si="24">SUM(AC3:AH3)</f>
        <v>0</v>
      </c>
      <c r="AJ3" s="76">
        <f t="shared" ref="AJ3:AJ27" si="25">1/((1+0.07)^(AB3-$AJ$1))</f>
        <v>0.87343872827321156</v>
      </c>
    </row>
    <row r="4" spans="1:36" x14ac:dyDescent="0.25">
      <c r="A4" s="70">
        <f>'Network Benefit Calculations'!A6</f>
        <v>2021</v>
      </c>
      <c r="B4" s="71">
        <f>SUM('Network Benefit Calculations'!B6:D6)-SUM('Network Benefit Calculations'!E6:G6)</f>
        <v>0</v>
      </c>
      <c r="C4" s="71">
        <f>('Network Benefit Calculations'!H6-'Network Benefit Calculations'!K6)+('Network Benefit Calculations'!J6-'Network Benefit Calculations'!M6)+('Network Benefit Calculations'!P6-'Network Benefit Calculations'!S6)+('Network Benefit Calculations'!R6-'Network Benefit Calculations'!U6)</f>
        <v>0</v>
      </c>
      <c r="D4" s="71">
        <f>('Network Benefit Calculations'!I6-'Network Benefit Calculations'!L6)+('Network Benefit Calculations'!Q6-'Network Benefit Calculations'!T6)</f>
        <v>0</v>
      </c>
      <c r="E4" s="71">
        <f>'Network Benefit Calculations'!N6-'Network Benefit Calculations'!O6</f>
        <v>0</v>
      </c>
      <c r="F4" s="71">
        <f>SUM('Network Benefit Calculations'!V6:X6)-SUM('Network Benefit Calculations'!Y6:AA6)</f>
        <v>0</v>
      </c>
      <c r="G4" s="71">
        <f>SUM('Network Benefit Calculations'!AB6:AD6)-SUM('Network Benefit Calculations'!AE6:AG6)</f>
        <v>0</v>
      </c>
      <c r="H4" s="72"/>
      <c r="I4" s="70">
        <f t="shared" si="0"/>
        <v>2021</v>
      </c>
      <c r="J4" s="75">
        <f t="shared" si="1"/>
        <v>0</v>
      </c>
      <c r="K4" s="75">
        <f t="shared" si="2"/>
        <v>0</v>
      </c>
      <c r="L4" s="75">
        <f t="shared" si="3"/>
        <v>0</v>
      </c>
      <c r="M4" s="75">
        <f t="shared" si="4"/>
        <v>0</v>
      </c>
      <c r="N4" s="73">
        <f t="shared" si="5"/>
        <v>0</v>
      </c>
      <c r="O4" s="169">
        <f t="shared" si="6"/>
        <v>0</v>
      </c>
      <c r="P4" s="75">
        <f t="shared" si="7"/>
        <v>0</v>
      </c>
      <c r="Q4" s="72"/>
      <c r="R4" s="74">
        <f t="shared" si="8"/>
        <v>2021</v>
      </c>
      <c r="S4" s="75">
        <f t="shared" si="9"/>
        <v>0</v>
      </c>
      <c r="T4" s="75">
        <f t="shared" si="10"/>
        <v>0</v>
      </c>
      <c r="U4" s="75">
        <f t="shared" si="11"/>
        <v>0</v>
      </c>
      <c r="V4" s="75">
        <f t="shared" si="12"/>
        <v>0</v>
      </c>
      <c r="W4" s="75">
        <f t="shared" si="13"/>
        <v>0</v>
      </c>
      <c r="X4" s="75">
        <f t="shared" si="14"/>
        <v>0</v>
      </c>
      <c r="Y4" s="75">
        <f t="shared" si="15"/>
        <v>0</v>
      </c>
      <c r="Z4" s="76">
        <f t="shared" si="16"/>
        <v>0.91514165935315961</v>
      </c>
      <c r="AA4" s="72"/>
      <c r="AB4" s="74">
        <f t="shared" si="17"/>
        <v>2021</v>
      </c>
      <c r="AC4" s="75">
        <f t="shared" si="18"/>
        <v>0</v>
      </c>
      <c r="AD4" s="75">
        <f t="shared" si="19"/>
        <v>0</v>
      </c>
      <c r="AE4" s="75">
        <f t="shared" si="20"/>
        <v>0</v>
      </c>
      <c r="AF4" s="75">
        <f t="shared" si="21"/>
        <v>0</v>
      </c>
      <c r="AG4" s="75">
        <f t="shared" si="22"/>
        <v>0</v>
      </c>
      <c r="AH4" s="75">
        <f t="shared" si="23"/>
        <v>0</v>
      </c>
      <c r="AI4" s="75">
        <f t="shared" si="24"/>
        <v>0</v>
      </c>
      <c r="AJ4" s="76">
        <f t="shared" si="25"/>
        <v>0.81629787689085187</v>
      </c>
    </row>
    <row r="5" spans="1:36" x14ac:dyDescent="0.25">
      <c r="A5" s="70">
        <f>'Network Benefit Calculations'!A7</f>
        <v>2022</v>
      </c>
      <c r="B5" s="71">
        <f>SUM('Network Benefit Calculations'!B7:D7)-SUM('Network Benefit Calculations'!E7:G7)</f>
        <v>0</v>
      </c>
      <c r="C5" s="71">
        <f>('Network Benefit Calculations'!H7-'Network Benefit Calculations'!K7)+('Network Benefit Calculations'!J7-'Network Benefit Calculations'!M7)+('Network Benefit Calculations'!P7-'Network Benefit Calculations'!S7)+('Network Benefit Calculations'!R7-'Network Benefit Calculations'!U7)</f>
        <v>0</v>
      </c>
      <c r="D5" s="71">
        <f>('Network Benefit Calculations'!I7-'Network Benefit Calculations'!L7)+('Network Benefit Calculations'!Q7-'Network Benefit Calculations'!T7)</f>
        <v>0</v>
      </c>
      <c r="E5" s="71">
        <f>'Network Benefit Calculations'!N7-'Network Benefit Calculations'!O7</f>
        <v>0</v>
      </c>
      <c r="F5" s="71">
        <f>SUM('Network Benefit Calculations'!V7:X7)-SUM('Network Benefit Calculations'!Y7:AA7)</f>
        <v>0</v>
      </c>
      <c r="G5" s="71">
        <f>SUM('Network Benefit Calculations'!AB7:AD7)-SUM('Network Benefit Calculations'!AE7:AG7)</f>
        <v>0</v>
      </c>
      <c r="H5" s="72"/>
      <c r="I5" s="70">
        <f t="shared" ref="I5:I26" si="26">A5</f>
        <v>2022</v>
      </c>
      <c r="J5" s="73">
        <f t="shared" ref="J5:J26" si="27">B5/1000000</f>
        <v>0</v>
      </c>
      <c r="K5" s="73">
        <f t="shared" ref="K5:K26" si="28">C5/1000000</f>
        <v>0</v>
      </c>
      <c r="L5" s="73">
        <f t="shared" ref="L5:L26" si="29">D5/1000000</f>
        <v>0</v>
      </c>
      <c r="M5" s="73">
        <f t="shared" ref="M5:M26" si="30">F5/1000000</f>
        <v>0</v>
      </c>
      <c r="N5" s="73">
        <f t="shared" ref="N5:N26" si="31">G5/1000000</f>
        <v>0</v>
      </c>
      <c r="O5" s="169">
        <f t="shared" si="6"/>
        <v>0</v>
      </c>
      <c r="P5" s="73">
        <f t="shared" ref="P5:P26" si="32">SUM(J5:O5)</f>
        <v>0</v>
      </c>
      <c r="Q5" s="72"/>
      <c r="R5" s="74">
        <f t="shared" ref="R5:R26" si="33">I5</f>
        <v>2022</v>
      </c>
      <c r="S5" s="75">
        <f t="shared" ref="S5:S26" si="34">J5*$Z5</f>
        <v>0</v>
      </c>
      <c r="T5" s="75">
        <f t="shared" ref="T5:T26" si="35">K5*$Z5</f>
        <v>0</v>
      </c>
      <c r="U5" s="75">
        <f t="shared" ref="U5:U26" si="36">L5*$Z5</f>
        <v>0</v>
      </c>
      <c r="V5" s="75">
        <f t="shared" ref="V5:V26" si="37">M5*$Z5</f>
        <v>0</v>
      </c>
      <c r="W5" s="75">
        <f t="shared" ref="W5:W26" si="38">N5*$Z5</f>
        <v>0</v>
      </c>
      <c r="X5" s="75">
        <f t="shared" ref="X5:X26" si="39">O5*$Z5</f>
        <v>0</v>
      </c>
      <c r="Y5" s="75">
        <f t="shared" ref="Y5:Y26" si="40">SUM(S5:X5)</f>
        <v>0</v>
      </c>
      <c r="Z5" s="76">
        <f t="shared" si="16"/>
        <v>0.888487047915689</v>
      </c>
      <c r="AA5" s="72"/>
      <c r="AB5" s="74">
        <f t="shared" ref="AB5:AB26" si="41">R5</f>
        <v>2022</v>
      </c>
      <c r="AC5" s="75">
        <f t="shared" ref="AC5:AC26" si="42">J5*$AJ5</f>
        <v>0</v>
      </c>
      <c r="AD5" s="75">
        <f t="shared" ref="AD5:AD26" si="43">K5*$AJ5</f>
        <v>0</v>
      </c>
      <c r="AE5" s="75">
        <f t="shared" ref="AE5:AE26" si="44">L5*$AJ5</f>
        <v>0</v>
      </c>
      <c r="AF5" s="75">
        <f t="shared" ref="AF5:AF26" si="45">M5*$AJ5</f>
        <v>0</v>
      </c>
      <c r="AG5" s="75">
        <f t="shared" si="22"/>
        <v>0</v>
      </c>
      <c r="AH5" s="75">
        <f t="shared" ref="AH5:AH26" si="46">O5*$AJ5</f>
        <v>0</v>
      </c>
      <c r="AI5" s="75">
        <f t="shared" ref="AI5:AI26" si="47">SUM(AC5:AH5)</f>
        <v>0</v>
      </c>
      <c r="AJ5" s="76">
        <f t="shared" si="25"/>
        <v>0.7628952120475252</v>
      </c>
    </row>
    <row r="6" spans="1:36" x14ac:dyDescent="0.25">
      <c r="A6" s="70">
        <f>'Network Benefit Calculations'!A8</f>
        <v>2023</v>
      </c>
      <c r="B6" s="71">
        <f>SUM('Network Benefit Calculations'!B8:D8)-SUM('Network Benefit Calculations'!E8:G8)</f>
        <v>0</v>
      </c>
      <c r="C6" s="71">
        <f>('Network Benefit Calculations'!H8-'Network Benefit Calculations'!K8)+('Network Benefit Calculations'!J8-'Network Benefit Calculations'!M8)+('Network Benefit Calculations'!P8-'Network Benefit Calculations'!S8)+('Network Benefit Calculations'!R8-'Network Benefit Calculations'!U8)</f>
        <v>0</v>
      </c>
      <c r="D6" s="71">
        <f>('Network Benefit Calculations'!I8-'Network Benefit Calculations'!L8)+('Network Benefit Calculations'!Q8-'Network Benefit Calculations'!T8)</f>
        <v>0</v>
      </c>
      <c r="E6" s="71">
        <f>'Network Benefit Calculations'!N8-'Network Benefit Calculations'!O8</f>
        <v>0</v>
      </c>
      <c r="F6" s="71">
        <f>SUM('Network Benefit Calculations'!V8:X8)-SUM('Network Benefit Calculations'!Y8:AA8)</f>
        <v>0</v>
      </c>
      <c r="G6" s="71">
        <f>SUM('Network Benefit Calculations'!AB8:AD8)-SUM('Network Benefit Calculations'!AE8:AG8)</f>
        <v>0</v>
      </c>
      <c r="H6" s="72"/>
      <c r="I6" s="70">
        <f t="shared" si="26"/>
        <v>2023</v>
      </c>
      <c r="J6" s="75">
        <f t="shared" si="27"/>
        <v>0</v>
      </c>
      <c r="K6" s="75">
        <f t="shared" si="28"/>
        <v>0</v>
      </c>
      <c r="L6" s="75">
        <f t="shared" si="29"/>
        <v>0</v>
      </c>
      <c r="M6" s="75">
        <f t="shared" si="30"/>
        <v>0</v>
      </c>
      <c r="N6" s="73">
        <f t="shared" si="31"/>
        <v>0</v>
      </c>
      <c r="O6" s="169">
        <f t="shared" si="6"/>
        <v>0</v>
      </c>
      <c r="P6" s="75">
        <f t="shared" si="32"/>
        <v>0</v>
      </c>
      <c r="Q6" s="72"/>
      <c r="R6" s="74">
        <f t="shared" si="33"/>
        <v>2023</v>
      </c>
      <c r="S6" s="75">
        <f t="shared" si="34"/>
        <v>0</v>
      </c>
      <c r="T6" s="75">
        <f t="shared" si="35"/>
        <v>0</v>
      </c>
      <c r="U6" s="75">
        <f t="shared" si="36"/>
        <v>0</v>
      </c>
      <c r="V6" s="75">
        <f t="shared" si="37"/>
        <v>0</v>
      </c>
      <c r="W6" s="75">
        <f t="shared" si="38"/>
        <v>0</v>
      </c>
      <c r="X6" s="75">
        <f t="shared" si="39"/>
        <v>0</v>
      </c>
      <c r="Y6" s="75">
        <f t="shared" si="40"/>
        <v>0</v>
      </c>
      <c r="Z6" s="76">
        <f t="shared" si="16"/>
        <v>0.86260878438416411</v>
      </c>
      <c r="AA6" s="72"/>
      <c r="AB6" s="74">
        <f t="shared" si="41"/>
        <v>2023</v>
      </c>
      <c r="AC6" s="75">
        <f t="shared" si="42"/>
        <v>0</v>
      </c>
      <c r="AD6" s="75">
        <f t="shared" si="43"/>
        <v>0</v>
      </c>
      <c r="AE6" s="75">
        <f t="shared" si="44"/>
        <v>0</v>
      </c>
      <c r="AF6" s="75">
        <f t="shared" si="45"/>
        <v>0</v>
      </c>
      <c r="AG6" s="75">
        <f t="shared" si="22"/>
        <v>0</v>
      </c>
      <c r="AH6" s="75">
        <f t="shared" si="46"/>
        <v>0</v>
      </c>
      <c r="AI6" s="75">
        <f t="shared" si="47"/>
        <v>0</v>
      </c>
      <c r="AJ6" s="76">
        <f t="shared" si="25"/>
        <v>0.71298617948366838</v>
      </c>
    </row>
    <row r="7" spans="1:36" x14ac:dyDescent="0.25">
      <c r="A7" s="70">
        <f>'Network Benefit Calculations'!A9</f>
        <v>2024</v>
      </c>
      <c r="B7" s="71">
        <f>SUM('Network Benefit Calculations'!B9:D9)-SUM('Network Benefit Calculations'!E9:G9)</f>
        <v>0</v>
      </c>
      <c r="C7" s="71">
        <f>('Network Benefit Calculations'!H9-'Network Benefit Calculations'!K9)+('Network Benefit Calculations'!J9-'Network Benefit Calculations'!M9)+('Network Benefit Calculations'!P9-'Network Benefit Calculations'!S9)+('Network Benefit Calculations'!R9-'Network Benefit Calculations'!U9)</f>
        <v>0</v>
      </c>
      <c r="D7" s="71">
        <f>('Network Benefit Calculations'!I9-'Network Benefit Calculations'!L9)+('Network Benefit Calculations'!Q9-'Network Benefit Calculations'!T9)</f>
        <v>0</v>
      </c>
      <c r="E7" s="71">
        <f>'Network Benefit Calculations'!N9-'Network Benefit Calculations'!O9</f>
        <v>0</v>
      </c>
      <c r="F7" s="71">
        <f>SUM('Network Benefit Calculations'!V9:X9)-SUM('Network Benefit Calculations'!Y9:AA9)</f>
        <v>0</v>
      </c>
      <c r="G7" s="71">
        <f>SUM('Network Benefit Calculations'!AB9:AD9)-SUM('Network Benefit Calculations'!AE9:AG9)</f>
        <v>0</v>
      </c>
      <c r="H7" s="72"/>
      <c r="I7" s="70">
        <f t="shared" si="26"/>
        <v>2024</v>
      </c>
      <c r="J7" s="75">
        <f t="shared" si="27"/>
        <v>0</v>
      </c>
      <c r="K7" s="75">
        <f t="shared" si="28"/>
        <v>0</v>
      </c>
      <c r="L7" s="75">
        <f t="shared" si="29"/>
        <v>0</v>
      </c>
      <c r="M7" s="75">
        <f>F7/1000000</f>
        <v>0</v>
      </c>
      <c r="N7" s="73">
        <f t="shared" si="31"/>
        <v>0</v>
      </c>
      <c r="O7" s="169">
        <f t="shared" si="6"/>
        <v>0</v>
      </c>
      <c r="P7" s="75">
        <f t="shared" si="32"/>
        <v>0</v>
      </c>
      <c r="Q7" s="72"/>
      <c r="R7" s="74">
        <f t="shared" si="33"/>
        <v>2024</v>
      </c>
      <c r="S7" s="75">
        <f t="shared" si="34"/>
        <v>0</v>
      </c>
      <c r="T7" s="75">
        <f t="shared" si="35"/>
        <v>0</v>
      </c>
      <c r="U7" s="75">
        <f t="shared" si="36"/>
        <v>0</v>
      </c>
      <c r="V7" s="75">
        <f>M7*$Z7</f>
        <v>0</v>
      </c>
      <c r="W7" s="75">
        <f t="shared" si="38"/>
        <v>0</v>
      </c>
      <c r="X7" s="75">
        <f t="shared" si="39"/>
        <v>0</v>
      </c>
      <c r="Y7" s="75">
        <f t="shared" si="40"/>
        <v>0</v>
      </c>
      <c r="Z7" s="76">
        <f t="shared" si="16"/>
        <v>0.83748425668365445</v>
      </c>
      <c r="AA7" s="72"/>
      <c r="AB7" s="74">
        <f t="shared" si="41"/>
        <v>2024</v>
      </c>
      <c r="AC7" s="75">
        <f t="shared" si="42"/>
        <v>0</v>
      </c>
      <c r="AD7" s="75">
        <f t="shared" si="43"/>
        <v>0</v>
      </c>
      <c r="AE7" s="75">
        <f t="shared" si="44"/>
        <v>0</v>
      </c>
      <c r="AF7" s="75">
        <f t="shared" si="45"/>
        <v>0</v>
      </c>
      <c r="AG7" s="75">
        <f t="shared" ref="AG7:AG26" si="48">N7*$AJ7</f>
        <v>0</v>
      </c>
      <c r="AH7" s="75">
        <f t="shared" si="46"/>
        <v>0</v>
      </c>
      <c r="AI7" s="75">
        <f t="shared" si="47"/>
        <v>0</v>
      </c>
      <c r="AJ7" s="76">
        <f t="shared" si="25"/>
        <v>0.66634222381651254</v>
      </c>
    </row>
    <row r="8" spans="1:36" x14ac:dyDescent="0.25">
      <c r="A8" s="70">
        <f>'Network Benefit Calculations'!A10</f>
        <v>2025</v>
      </c>
      <c r="B8" s="71">
        <f>SUM('Network Benefit Calculations'!B10:D10)-SUM('Network Benefit Calculations'!E10:G10)</f>
        <v>798744.12310695648</v>
      </c>
      <c r="C8" s="71">
        <f>('Network Benefit Calculations'!H10-'Network Benefit Calculations'!K10)+('Network Benefit Calculations'!J10-'Network Benefit Calculations'!M10)+('Network Benefit Calculations'!P10-'Network Benefit Calculations'!S10)+('Network Benefit Calculations'!R10-'Network Benefit Calculations'!U10)</f>
        <v>3892613.5298744277</v>
      </c>
      <c r="D8" s="71">
        <f>('Network Benefit Calculations'!I10-'Network Benefit Calculations'!L10)+('Network Benefit Calculations'!Q10-'Network Benefit Calculations'!T10)</f>
        <v>2802920.4668878755</v>
      </c>
      <c r="E8" s="71">
        <f>'Network Benefit Calculations'!N10-'Network Benefit Calculations'!O10</f>
        <v>13943088.779149026</v>
      </c>
      <c r="F8" s="71">
        <f>SUM('Network Benefit Calculations'!V10:X10)-SUM('Network Benefit Calculations'!Y10:AA10)</f>
        <v>203223.00470346212</v>
      </c>
      <c r="G8" s="71">
        <f>SUM('Network Benefit Calculations'!AB10:AD10)-SUM('Network Benefit Calculations'!AE10:AG10)</f>
        <v>58204.248378792778</v>
      </c>
      <c r="H8" s="72"/>
      <c r="I8" s="70">
        <f t="shared" si="26"/>
        <v>2025</v>
      </c>
      <c r="J8" s="75">
        <f t="shared" si="27"/>
        <v>0.79874412310695653</v>
      </c>
      <c r="K8" s="75">
        <f t="shared" si="28"/>
        <v>3.8926135298744278</v>
      </c>
      <c r="L8" s="75">
        <f t="shared" si="29"/>
        <v>2.8029204668878753</v>
      </c>
      <c r="M8" s="75">
        <f t="shared" si="30"/>
        <v>0.20322300470346213</v>
      </c>
      <c r="N8" s="73">
        <f t="shared" si="31"/>
        <v>5.8204248378792775E-2</v>
      </c>
      <c r="O8" s="169">
        <f t="shared" si="6"/>
        <v>13.943088779149026</v>
      </c>
      <c r="P8" s="75">
        <f t="shared" si="32"/>
        <v>21.69879415210054</v>
      </c>
      <c r="Q8" s="72"/>
      <c r="R8" s="74">
        <f t="shared" si="33"/>
        <v>2025</v>
      </c>
      <c r="S8" s="75">
        <f t="shared" si="34"/>
        <v>0.64945206623365714</v>
      </c>
      <c r="T8" s="75">
        <f t="shared" si="35"/>
        <v>3.1650510180811855</v>
      </c>
      <c r="U8" s="75">
        <f t="shared" si="36"/>
        <v>2.2790308385970812</v>
      </c>
      <c r="V8" s="75">
        <f t="shared" si="37"/>
        <v>0.16523890003407551</v>
      </c>
      <c r="W8" s="75">
        <f t="shared" si="38"/>
        <v>4.7325380280916568E-2</v>
      </c>
      <c r="X8" s="75">
        <f t="shared" si="39"/>
        <v>11.337007128232839</v>
      </c>
      <c r="Y8" s="75">
        <f t="shared" si="40"/>
        <v>17.643105331459754</v>
      </c>
      <c r="Z8" s="76">
        <f t="shared" si="16"/>
        <v>0.81309151134335378</v>
      </c>
      <c r="AA8" s="72"/>
      <c r="AB8" s="74">
        <f t="shared" si="41"/>
        <v>2025</v>
      </c>
      <c r="AC8" s="75">
        <f t="shared" si="42"/>
        <v>0.49741769649669121</v>
      </c>
      <c r="AD8" s="75">
        <f t="shared" si="43"/>
        <v>2.424124070985767</v>
      </c>
      <c r="AE8" s="75">
        <f t="shared" si="44"/>
        <v>1.7455179972774619</v>
      </c>
      <c r="AF8" s="75">
        <f t="shared" si="45"/>
        <v>0.12655707372409208</v>
      </c>
      <c r="AG8" s="75">
        <f t="shared" si="48"/>
        <v>3.6246680654479828E-2</v>
      </c>
      <c r="AH8" s="75">
        <f t="shared" si="46"/>
        <v>8.6830549382889934</v>
      </c>
      <c r="AI8" s="75">
        <f t="shared" si="47"/>
        <v>13.512918457427485</v>
      </c>
      <c r="AJ8" s="76">
        <f t="shared" si="25"/>
        <v>0.62274974188459109</v>
      </c>
    </row>
    <row r="9" spans="1:36" x14ac:dyDescent="0.25">
      <c r="A9" s="70">
        <f>'Network Benefit Calculations'!A11</f>
        <v>2026</v>
      </c>
      <c r="B9" s="71">
        <f>SUM('Network Benefit Calculations'!B11:D11)-SUM('Network Benefit Calculations'!E11:G11)</f>
        <v>815200.518183887</v>
      </c>
      <c r="C9" s="71">
        <f>('Network Benefit Calculations'!H11-'Network Benefit Calculations'!K11)+('Network Benefit Calculations'!J11-'Network Benefit Calculations'!M11)+('Network Benefit Calculations'!P11-'Network Benefit Calculations'!S11)+('Network Benefit Calculations'!R11-'Network Benefit Calculations'!U11)</f>
        <v>3966221.4020914398</v>
      </c>
      <c r="D9" s="71">
        <f>('Network Benefit Calculations'!I11-'Network Benefit Calculations'!L11)+('Network Benefit Calculations'!Q11-'Network Benefit Calculations'!T11)</f>
        <v>2779563.8955961913</v>
      </c>
      <c r="E9" s="71">
        <f>'Network Benefit Calculations'!N11-'Network Benefit Calculations'!O11</f>
        <v>14398910.248090625</v>
      </c>
      <c r="F9" s="71">
        <f>SUM('Network Benefit Calculations'!V11:X11)-SUM('Network Benefit Calculations'!Y11:AA11)</f>
        <v>208930.90436954051</v>
      </c>
      <c r="G9" s="71">
        <f>SUM('Network Benefit Calculations'!AB11:AD11)-SUM('Network Benefit Calculations'!AE11:AG11)</f>
        <v>58433.41691153869</v>
      </c>
      <c r="H9" s="72"/>
      <c r="I9" s="70">
        <f t="shared" si="26"/>
        <v>2026</v>
      </c>
      <c r="J9" s="73">
        <f t="shared" si="27"/>
        <v>0.81520051818388706</v>
      </c>
      <c r="K9" s="73">
        <f t="shared" si="28"/>
        <v>3.9662214020914397</v>
      </c>
      <c r="L9" s="73">
        <f t="shared" si="29"/>
        <v>2.7795638955961914</v>
      </c>
      <c r="M9" s="73">
        <f t="shared" si="30"/>
        <v>0.20893090436954051</v>
      </c>
      <c r="N9" s="73">
        <f t="shared" si="31"/>
        <v>5.8433416911538694E-2</v>
      </c>
      <c r="O9" s="169">
        <f t="shared" si="6"/>
        <v>14.398910248090624</v>
      </c>
      <c r="P9" s="73">
        <f t="shared" si="32"/>
        <v>22.227260385243223</v>
      </c>
      <c r="Q9" s="72"/>
      <c r="R9" s="74">
        <f t="shared" si="33"/>
        <v>2026</v>
      </c>
      <c r="S9" s="75">
        <f t="shared" si="34"/>
        <v>0.64352681687186597</v>
      </c>
      <c r="T9" s="75">
        <f t="shared" si="35"/>
        <v>3.1309718001445481</v>
      </c>
      <c r="U9" s="75">
        <f t="shared" si="36"/>
        <v>2.1942134065492498</v>
      </c>
      <c r="V9" s="75">
        <f t="shared" si="37"/>
        <v>0.16493198524287711</v>
      </c>
      <c r="W9" s="75">
        <f t="shared" si="38"/>
        <v>4.6127878902484744E-2</v>
      </c>
      <c r="X9" s="75">
        <f t="shared" si="39"/>
        <v>11.366632713900302</v>
      </c>
      <c r="Y9" s="75">
        <f t="shared" si="40"/>
        <v>17.546404601611329</v>
      </c>
      <c r="Z9" s="76">
        <f t="shared" si="16"/>
        <v>0.78940923431393573</v>
      </c>
      <c r="AA9" s="72"/>
      <c r="AB9" s="74">
        <f t="shared" si="41"/>
        <v>2026</v>
      </c>
      <c r="AC9" s="75">
        <f t="shared" si="42"/>
        <v>0.4744541236291594</v>
      </c>
      <c r="AD9" s="75">
        <f t="shared" si="43"/>
        <v>2.3083769667379301</v>
      </c>
      <c r="AE9" s="75">
        <f t="shared" si="44"/>
        <v>1.6177314939572494</v>
      </c>
      <c r="AF9" s="75">
        <f t="shared" si="45"/>
        <v>0.12159968856807994</v>
      </c>
      <c r="AG9" s="75">
        <f t="shared" si="48"/>
        <v>3.4008780653360209E-2</v>
      </c>
      <c r="AH9" s="75">
        <f t="shared" si="46"/>
        <v>8.380296860203579</v>
      </c>
      <c r="AI9" s="75">
        <f t="shared" si="47"/>
        <v>12.936467913749357</v>
      </c>
      <c r="AJ9" s="76">
        <f t="shared" si="25"/>
        <v>0.5820091045650384</v>
      </c>
    </row>
    <row r="10" spans="1:36" x14ac:dyDescent="0.25">
      <c r="A10" s="70">
        <f>'Network Benefit Calculations'!A12</f>
        <v>2027</v>
      </c>
      <c r="B10" s="71">
        <f>SUM('Network Benefit Calculations'!B12:D12)-SUM('Network Benefit Calculations'!E12:G12)</f>
        <v>831515.05057480931</v>
      </c>
      <c r="C10" s="71">
        <f>('Network Benefit Calculations'!H12-'Network Benefit Calculations'!K12)+('Network Benefit Calculations'!J12-'Network Benefit Calculations'!M12)+('Network Benefit Calculations'!P12-'Network Benefit Calculations'!S12)+('Network Benefit Calculations'!R12-'Network Benefit Calculations'!U12)</f>
        <v>4042242.8472351213</v>
      </c>
      <c r="D10" s="71">
        <f>('Network Benefit Calculations'!I12-'Network Benefit Calculations'!L12)+('Network Benefit Calculations'!Q12-'Network Benefit Calculations'!T12)</f>
        <v>2756189.1171449339</v>
      </c>
      <c r="E10" s="71">
        <f>'Network Benefit Calculations'!N12-'Network Benefit Calculations'!O12</f>
        <v>14867796.412905931</v>
      </c>
      <c r="F10" s="71">
        <f>SUM('Network Benefit Calculations'!V12:X12)-SUM('Network Benefit Calculations'!Y12:AA12)</f>
        <v>214620.77939388901</v>
      </c>
      <c r="G10" s="71">
        <f>SUM('Network Benefit Calculations'!AB12:AD12)-SUM('Network Benefit Calculations'!AE12:AG12)</f>
        <v>58640.723931629211</v>
      </c>
      <c r="H10" s="72"/>
      <c r="I10" s="70">
        <f t="shared" si="26"/>
        <v>2027</v>
      </c>
      <c r="J10" s="75">
        <f t="shared" si="27"/>
        <v>0.83151505057480934</v>
      </c>
      <c r="K10" s="75">
        <f t="shared" si="28"/>
        <v>4.0422428472351211</v>
      </c>
      <c r="L10" s="75">
        <f t="shared" si="29"/>
        <v>2.7561891171449338</v>
      </c>
      <c r="M10" s="75">
        <f t="shared" si="30"/>
        <v>0.21462077939388902</v>
      </c>
      <c r="N10" s="73">
        <f t="shared" si="31"/>
        <v>5.864072393162921E-2</v>
      </c>
      <c r="O10" s="169">
        <f t="shared" si="6"/>
        <v>14.867796412905932</v>
      </c>
      <c r="P10" s="75">
        <f t="shared" si="32"/>
        <v>22.771004931186315</v>
      </c>
      <c r="Q10" s="72"/>
      <c r="R10" s="74">
        <f t="shared" si="33"/>
        <v>2027</v>
      </c>
      <c r="S10" s="75">
        <f t="shared" si="34"/>
        <v>0.63728704795609104</v>
      </c>
      <c r="T10" s="75">
        <f t="shared" si="35"/>
        <v>3.0980425543173404</v>
      </c>
      <c r="U10" s="75">
        <f t="shared" si="36"/>
        <v>2.1123894568832862</v>
      </c>
      <c r="V10" s="75">
        <f t="shared" si="37"/>
        <v>0.16448895643610684</v>
      </c>
      <c r="W10" s="75">
        <f t="shared" si="38"/>
        <v>4.4943232017943986E-2</v>
      </c>
      <c r="X10" s="75">
        <f t="shared" si="39"/>
        <v>11.394927943929662</v>
      </c>
      <c r="Y10" s="75">
        <f t="shared" si="40"/>
        <v>17.452079191540431</v>
      </c>
      <c r="Z10" s="76">
        <f t="shared" si="16"/>
        <v>0.76641673234362695</v>
      </c>
      <c r="AA10" s="72"/>
      <c r="AB10" s="74">
        <f t="shared" si="41"/>
        <v>2027</v>
      </c>
      <c r="AC10" s="75">
        <f t="shared" si="42"/>
        <v>0.45228909347420321</v>
      </c>
      <c r="AD10" s="75">
        <f t="shared" si="43"/>
        <v>2.1987122803306023</v>
      </c>
      <c r="AE10" s="75">
        <f t="shared" si="44"/>
        <v>1.4991842617583426</v>
      </c>
      <c r="AF10" s="75">
        <f t="shared" si="45"/>
        <v>0.11673948377204486</v>
      </c>
      <c r="AG10" s="75">
        <f t="shared" si="48"/>
        <v>3.1896668435974891E-2</v>
      </c>
      <c r="AH10" s="75">
        <f t="shared" si="46"/>
        <v>8.0870961468510956</v>
      </c>
      <c r="AI10" s="75">
        <f t="shared" si="47"/>
        <v>12.385917934622263</v>
      </c>
      <c r="AJ10" s="76">
        <f t="shared" si="25"/>
        <v>0.54393374258414806</v>
      </c>
    </row>
    <row r="11" spans="1:36" x14ac:dyDescent="0.25">
      <c r="A11" s="70">
        <f>'Network Benefit Calculations'!A13</f>
        <v>2028</v>
      </c>
      <c r="B11" s="71">
        <f>SUM('Network Benefit Calculations'!B13:D13)-SUM('Network Benefit Calculations'!E13:G13)</f>
        <v>847682.70892465115</v>
      </c>
      <c r="C11" s="71">
        <f>('Network Benefit Calculations'!H13-'Network Benefit Calculations'!K13)+('Network Benefit Calculations'!J13-'Network Benefit Calculations'!M13)+('Network Benefit Calculations'!P13-'Network Benefit Calculations'!S13)+('Network Benefit Calculations'!R13-'Network Benefit Calculations'!U13)</f>
        <v>4120742.598789</v>
      </c>
      <c r="D11" s="71">
        <f>('Network Benefit Calculations'!I13-'Network Benefit Calculations'!L13)+('Network Benefit Calculations'!Q13-'Network Benefit Calculations'!T13)</f>
        <v>2732796.1206966275</v>
      </c>
      <c r="E11" s="71">
        <f>'Network Benefit Calculations'!N13-'Network Benefit Calculations'!O13</f>
        <v>15350096.474988312</v>
      </c>
      <c r="F11" s="71">
        <f>SUM('Network Benefit Calculations'!V13:X13)-SUM('Network Benefit Calculations'!Y13:AA13)</f>
        <v>220291.95725286007</v>
      </c>
      <c r="G11" s="71">
        <f>SUM('Network Benefit Calculations'!AB13:AD13)-SUM('Network Benefit Calculations'!AE13:AG13)</f>
        <v>58825.420002233237</v>
      </c>
      <c r="H11" s="72"/>
      <c r="I11" s="70">
        <f t="shared" si="26"/>
        <v>2028</v>
      </c>
      <c r="J11" s="75">
        <f t="shared" si="27"/>
        <v>0.84768270892465114</v>
      </c>
      <c r="K11" s="75">
        <f t="shared" si="28"/>
        <v>4.1207425987889996</v>
      </c>
      <c r="L11" s="75">
        <f t="shared" si="29"/>
        <v>2.7327961206966274</v>
      </c>
      <c r="M11" s="75">
        <f t="shared" si="30"/>
        <v>0.22029195725286008</v>
      </c>
      <c r="N11" s="73">
        <f t="shared" si="31"/>
        <v>5.8825420002233238E-2</v>
      </c>
      <c r="O11" s="169">
        <f t="shared" si="6"/>
        <v>15.350096474988311</v>
      </c>
      <c r="P11" s="75">
        <f t="shared" si="32"/>
        <v>23.330435280653681</v>
      </c>
      <c r="Q11" s="72"/>
      <c r="R11" s="74">
        <f t="shared" si="33"/>
        <v>2028</v>
      </c>
      <c r="S11" s="75">
        <f t="shared" si="34"/>
        <v>0.63075554547400481</v>
      </c>
      <c r="T11" s="75">
        <f t="shared" si="35"/>
        <v>3.066219492614612</v>
      </c>
      <c r="U11" s="75">
        <f t="shared" si="36"/>
        <v>2.033456964063737</v>
      </c>
      <c r="V11" s="75">
        <f t="shared" si="37"/>
        <v>0.16391790489254268</v>
      </c>
      <c r="W11" s="75">
        <f t="shared" si="38"/>
        <v>4.3771637064905854E-2</v>
      </c>
      <c r="X11" s="75">
        <f t="shared" si="39"/>
        <v>11.421913380116473</v>
      </c>
      <c r="Y11" s="75">
        <f t="shared" si="40"/>
        <v>17.360034924226277</v>
      </c>
      <c r="Z11" s="76">
        <f t="shared" si="16"/>
        <v>0.74409391489672516</v>
      </c>
      <c r="AA11" s="72"/>
      <c r="AB11" s="74">
        <f t="shared" si="41"/>
        <v>2028</v>
      </c>
      <c r="AC11" s="75">
        <f t="shared" si="42"/>
        <v>0.43091890503668645</v>
      </c>
      <c r="AD11" s="75">
        <f t="shared" si="43"/>
        <v>2.0947765831637652</v>
      </c>
      <c r="AE11" s="75">
        <f t="shared" si="44"/>
        <v>1.3892149735046333</v>
      </c>
      <c r="AF11" s="75">
        <f t="shared" si="45"/>
        <v>0.11198526053246294</v>
      </c>
      <c r="AG11" s="75">
        <f t="shared" si="48"/>
        <v>2.9903860617662734E-2</v>
      </c>
      <c r="AH11" s="75">
        <f t="shared" si="46"/>
        <v>7.8032106772599343</v>
      </c>
      <c r="AI11" s="75">
        <f t="shared" si="47"/>
        <v>11.860010260115144</v>
      </c>
      <c r="AJ11" s="76">
        <f t="shared" si="25"/>
        <v>0.5083492921347178</v>
      </c>
    </row>
    <row r="12" spans="1:36" x14ac:dyDescent="0.25">
      <c r="A12" s="70">
        <f>'Network Benefit Calculations'!A14</f>
        <v>2029</v>
      </c>
      <c r="B12" s="71">
        <f>SUM('Network Benefit Calculations'!B14:D14)-SUM('Network Benefit Calculations'!E14:G14)</f>
        <v>863698.347553581</v>
      </c>
      <c r="C12" s="71">
        <f>('Network Benefit Calculations'!H14-'Network Benefit Calculations'!K14)+('Network Benefit Calculations'!J14-'Network Benefit Calculations'!M14)+('Network Benefit Calculations'!P14-'Network Benefit Calculations'!S14)+('Network Benefit Calculations'!R14-'Network Benefit Calculations'!U14)</f>
        <v>4201787.0471679457</v>
      </c>
      <c r="D12" s="71">
        <f>('Network Benefit Calculations'!I14-'Network Benefit Calculations'!L14)+('Network Benefit Calculations'!Q14-'Network Benefit Calculations'!T14)</f>
        <v>2709384.8954078266</v>
      </c>
      <c r="E12" s="71">
        <f>'Network Benefit Calculations'!N14-'Network Benefit Calculations'!O14</f>
        <v>15846168.573277384</v>
      </c>
      <c r="F12" s="71">
        <f>SUM('Network Benefit Calculations'!V14:X14)-SUM('Network Benefit Calculations'!Y14:AA14)</f>
        <v>225943.74739002436</v>
      </c>
      <c r="G12" s="71">
        <f>SUM('Network Benefit Calculations'!AB14:AD14)-SUM('Network Benefit Calculations'!AE14:AG14)</f>
        <v>58986.735602706671</v>
      </c>
      <c r="H12" s="72"/>
      <c r="I12" s="70">
        <f t="shared" si="26"/>
        <v>2029</v>
      </c>
      <c r="J12" s="75">
        <f t="shared" si="27"/>
        <v>0.86369834755358099</v>
      </c>
      <c r="K12" s="75">
        <f t="shared" si="28"/>
        <v>4.2017870471679455</v>
      </c>
      <c r="L12" s="75">
        <f t="shared" si="29"/>
        <v>2.7093848954078266</v>
      </c>
      <c r="M12" s="75">
        <f t="shared" si="30"/>
        <v>0.22594374739002437</v>
      </c>
      <c r="N12" s="73">
        <f t="shared" si="31"/>
        <v>5.8986735602706668E-2</v>
      </c>
      <c r="O12" s="169">
        <f t="shared" si="6"/>
        <v>15.846168573277383</v>
      </c>
      <c r="P12" s="75">
        <f t="shared" si="32"/>
        <v>23.905969346399466</v>
      </c>
      <c r="Q12" s="72"/>
      <c r="R12" s="74">
        <f t="shared" si="33"/>
        <v>2029</v>
      </c>
      <c r="S12" s="75">
        <f t="shared" si="34"/>
        <v>0.62395406283589949</v>
      </c>
      <c r="T12" s="75">
        <f t="shared" si="35"/>
        <v>3.0354603626112113</v>
      </c>
      <c r="U12" s="75">
        <f t="shared" si="36"/>
        <v>1.9573172949379263</v>
      </c>
      <c r="V12" s="75">
        <f t="shared" si="37"/>
        <v>0.16322657042900968</v>
      </c>
      <c r="W12" s="75">
        <f t="shared" si="38"/>
        <v>4.2613272836501015E-2</v>
      </c>
      <c r="X12" s="75">
        <f t="shared" si="39"/>
        <v>11.447609329906236</v>
      </c>
      <c r="Y12" s="75">
        <f t="shared" si="40"/>
        <v>17.270180893556784</v>
      </c>
      <c r="Z12" s="76">
        <f>1/((1+0.03)^(R12-$Z$1))</f>
        <v>0.72242127659876232</v>
      </c>
      <c r="AA12" s="72"/>
      <c r="AB12" s="74">
        <f t="shared" si="41"/>
        <v>2029</v>
      </c>
      <c r="AC12" s="75">
        <f t="shared" si="42"/>
        <v>0.41033686317456852</v>
      </c>
      <c r="AD12" s="75">
        <f t="shared" si="43"/>
        <v>1.9962387580641598</v>
      </c>
      <c r="AE12" s="75">
        <f t="shared" si="44"/>
        <v>1.2872092464495934</v>
      </c>
      <c r="AF12" s="75">
        <f t="shared" si="45"/>
        <v>0.10734424677381717</v>
      </c>
      <c r="AG12" s="75">
        <f t="shared" si="48"/>
        <v>2.8024173167265128E-2</v>
      </c>
      <c r="AH12" s="75">
        <f t="shared" si="46"/>
        <v>7.5284005395074463</v>
      </c>
      <c r="AI12" s="75">
        <f t="shared" si="47"/>
        <v>11.357553827136851</v>
      </c>
      <c r="AJ12" s="76">
        <f t="shared" si="25"/>
        <v>0.47509279638758667</v>
      </c>
    </row>
    <row r="13" spans="1:36" x14ac:dyDescent="0.25">
      <c r="A13" s="70">
        <f>'Network Benefit Calculations'!A15</f>
        <v>2030</v>
      </c>
      <c r="B13" s="71">
        <f>SUM('Network Benefit Calculations'!B15:D15)-SUM('Network Benefit Calculations'!E15:G15)</f>
        <v>879556.68321800232</v>
      </c>
      <c r="C13" s="71">
        <f>('Network Benefit Calculations'!H15-'Network Benefit Calculations'!K15)+('Network Benefit Calculations'!J15-'Network Benefit Calculations'!M15)+('Network Benefit Calculations'!P15-'Network Benefit Calculations'!S15)+('Network Benefit Calculations'!R15-'Network Benefit Calculations'!U15)</f>
        <v>4285444.2808911074</v>
      </c>
      <c r="D13" s="71">
        <f>('Network Benefit Calculations'!I15-'Network Benefit Calculations'!L15)+('Network Benefit Calculations'!Q15-'Network Benefit Calculations'!T15)</f>
        <v>2685955.4304291895</v>
      </c>
      <c r="E13" s="71">
        <f>'Network Benefit Calculations'!N15-'Network Benefit Calculations'!O15</f>
        <v>16356380.00634715</v>
      </c>
      <c r="F13" s="71">
        <f>SUM('Network Benefit Calculations'!V15:X15)-SUM('Network Benefit Calculations'!Y15:AA15)</f>
        <v>231575.44078119844</v>
      </c>
      <c r="G13" s="71">
        <f>SUM('Network Benefit Calculations'!AB15:AD15)-SUM('Network Benefit Calculations'!AE15:AG15)</f>
        <v>59123.880644239485</v>
      </c>
      <c r="H13" s="72"/>
      <c r="I13" s="70">
        <f t="shared" si="26"/>
        <v>2030</v>
      </c>
      <c r="J13" s="73">
        <f t="shared" si="27"/>
        <v>0.87955668321800229</v>
      </c>
      <c r="K13" s="73">
        <f t="shared" si="28"/>
        <v>4.2854442808911077</v>
      </c>
      <c r="L13" s="73">
        <f t="shared" si="29"/>
        <v>2.6859554304291895</v>
      </c>
      <c r="M13" s="73">
        <f t="shared" si="30"/>
        <v>0.23157544078119843</v>
      </c>
      <c r="N13" s="73">
        <f t="shared" si="31"/>
        <v>5.9123880644239485E-2</v>
      </c>
      <c r="O13" s="169">
        <f t="shared" si="6"/>
        <v>16.356380006347148</v>
      </c>
      <c r="P13" s="73">
        <f t="shared" si="32"/>
        <v>24.498035722310885</v>
      </c>
      <c r="Q13" s="72"/>
      <c r="R13" s="74">
        <f t="shared" si="33"/>
        <v>2030</v>
      </c>
      <c r="S13" s="75">
        <f t="shared" si="34"/>
        <v>0.61690336109837141</v>
      </c>
      <c r="T13" s="75">
        <f t="shared" si="35"/>
        <v>3.0057243963050677</v>
      </c>
      <c r="U13" s="75">
        <f t="shared" si="36"/>
        <v>1.8838750979980909</v>
      </c>
      <c r="V13" s="75">
        <f t="shared" si="37"/>
        <v>0.16242235491075194</v>
      </c>
      <c r="W13" s="75">
        <f t="shared" si="38"/>
        <v>4.1468300322800342E-2</v>
      </c>
      <c r="X13" s="75">
        <f t="shared" si="39"/>
        <v>11.472035849242506</v>
      </c>
      <c r="Y13" s="75">
        <f t="shared" si="40"/>
        <v>17.182429359877588</v>
      </c>
      <c r="Z13" s="76">
        <f t="shared" si="16"/>
        <v>0.70137988019297326</v>
      </c>
      <c r="AA13" s="72"/>
      <c r="AB13" s="74">
        <f t="shared" si="41"/>
        <v>2030</v>
      </c>
      <c r="AC13" s="75">
        <f t="shared" si="42"/>
        <v>0.39053368617890794</v>
      </c>
      <c r="AD13" s="75">
        <f t="shared" si="43"/>
        <v>1.9027885113754646</v>
      </c>
      <c r="AE13" s="75">
        <f t="shared" si="44"/>
        <v>1.1925963330981568</v>
      </c>
      <c r="AF13" s="75">
        <f t="shared" si="45"/>
        <v>0.10282226517329679</v>
      </c>
      <c r="AG13" s="75">
        <f t="shared" si="48"/>
        <v>2.6251710082764161E-2</v>
      </c>
      <c r="AH13" s="75">
        <f t="shared" si="46"/>
        <v>7.2624283327041876</v>
      </c>
      <c r="AI13" s="75">
        <f t="shared" si="47"/>
        <v>10.877420838612778</v>
      </c>
      <c r="AJ13" s="76">
        <f t="shared" si="25"/>
        <v>0.44401195924073528</v>
      </c>
    </row>
    <row r="14" spans="1:36" x14ac:dyDescent="0.25">
      <c r="A14" s="70">
        <f>'Network Benefit Calculations'!A16</f>
        <v>2031</v>
      </c>
      <c r="B14" s="71">
        <f>SUM('Network Benefit Calculations'!B16:D16)-SUM('Network Benefit Calculations'!E16:G16)</f>
        <v>895252.2917971015</v>
      </c>
      <c r="C14" s="71">
        <f>('Network Benefit Calculations'!H16-'Network Benefit Calculations'!K16)+('Network Benefit Calculations'!J16-'Network Benefit Calculations'!M16)+('Network Benefit Calculations'!P16-'Network Benefit Calculations'!S16)+('Network Benefit Calculations'!R16-'Network Benefit Calculations'!U16)</f>
        <v>4371784.1287562624</v>
      </c>
      <c r="D14" s="71">
        <f>('Network Benefit Calculations'!I16-'Network Benefit Calculations'!L16)+('Network Benefit Calculations'!Q16-'Network Benefit Calculations'!T16)</f>
        <v>2662507.7149055544</v>
      </c>
      <c r="E14" s="71">
        <f>'Network Benefit Calculations'!N16-'Network Benefit Calculations'!O16</f>
        <v>16881107.459894896</v>
      </c>
      <c r="F14" s="71">
        <f>SUM('Network Benefit Calculations'!V16:X16)-SUM('Network Benefit Calculations'!Y16:AA16)</f>
        <v>237186.30948973447</v>
      </c>
      <c r="G14" s="71">
        <f>SUM('Network Benefit Calculations'!AB16:AD16)-SUM('Network Benefit Calculations'!AE16:AG16)</f>
        <v>59236.043974541128</v>
      </c>
      <c r="H14" s="72"/>
      <c r="I14" s="70">
        <f t="shared" si="26"/>
        <v>2031</v>
      </c>
      <c r="J14" s="75">
        <f t="shared" si="27"/>
        <v>0.89525229179710153</v>
      </c>
      <c r="K14" s="75">
        <f t="shared" si="28"/>
        <v>4.3717841287562624</v>
      </c>
      <c r="L14" s="75">
        <f t="shared" si="29"/>
        <v>2.6625077149055545</v>
      </c>
      <c r="M14" s="75">
        <f t="shared" si="30"/>
        <v>0.23718630948973446</v>
      </c>
      <c r="N14" s="73">
        <f t="shared" si="31"/>
        <v>5.923604397454113E-2</v>
      </c>
      <c r="O14" s="169">
        <f t="shared" si="6"/>
        <v>16.881107459894896</v>
      </c>
      <c r="P14" s="75">
        <f t="shared" si="32"/>
        <v>25.107073948818091</v>
      </c>
      <c r="Q14" s="72"/>
      <c r="R14" s="74">
        <f t="shared" si="33"/>
        <v>2031</v>
      </c>
      <c r="S14" s="75">
        <f t="shared" si="34"/>
        <v>0.6096232477311998</v>
      </c>
      <c r="T14" s="75">
        <f t="shared" si="35"/>
        <v>2.9769722606374849</v>
      </c>
      <c r="U14" s="75">
        <f t="shared" si="36"/>
        <v>1.8130381962071114</v>
      </c>
      <c r="V14" s="75">
        <f t="shared" si="37"/>
        <v>0.16151233527507128</v>
      </c>
      <c r="W14" s="75">
        <f t="shared" si="38"/>
        <v>4.0336863520358597E-2</v>
      </c>
      <c r="X14" s="75">
        <f t="shared" si="39"/>
        <v>11.495212745384261</v>
      </c>
      <c r="Y14" s="75">
        <f t="shared" si="40"/>
        <v>17.096695648755485</v>
      </c>
      <c r="Z14" s="76">
        <f t="shared" si="16"/>
        <v>0.68095133999317792</v>
      </c>
      <c r="AA14" s="72"/>
      <c r="AB14" s="74">
        <f t="shared" si="41"/>
        <v>2031</v>
      </c>
      <c r="AC14" s="75">
        <f t="shared" si="42"/>
        <v>0.3714978729865322</v>
      </c>
      <c r="AD14" s="75">
        <f t="shared" si="43"/>
        <v>1.8141349872772137</v>
      </c>
      <c r="AE14" s="75">
        <f t="shared" si="44"/>
        <v>1.1048460439147552</v>
      </c>
      <c r="AF14" s="75">
        <f t="shared" si="45"/>
        <v>9.8423885964127461E-2</v>
      </c>
      <c r="AG14" s="75">
        <f t="shared" si="48"/>
        <v>2.4580852282996595E-2</v>
      </c>
      <c r="AH14" s="75">
        <f t="shared" si="46"/>
        <v>7.0050594368423589</v>
      </c>
      <c r="AI14" s="75">
        <f t="shared" si="47"/>
        <v>10.418543079267984</v>
      </c>
      <c r="AJ14" s="76">
        <f t="shared" si="25"/>
        <v>0.41496444788853759</v>
      </c>
    </row>
    <row r="15" spans="1:36" x14ac:dyDescent="0.25">
      <c r="A15" s="70">
        <f>'Network Benefit Calculations'!A17</f>
        <v>2032</v>
      </c>
      <c r="B15" s="71">
        <f>SUM('Network Benefit Calculations'!B17:D17)-SUM('Network Benefit Calculations'!E17:G17)</f>
        <v>910779.60490557551</v>
      </c>
      <c r="C15" s="71">
        <f>('Network Benefit Calculations'!H17-'Network Benefit Calculations'!K17)+('Network Benefit Calculations'!J17-'Network Benefit Calculations'!M17)+('Network Benefit Calculations'!P17-'Network Benefit Calculations'!S17)+('Network Benefit Calculations'!R17-'Network Benefit Calculations'!U17)</f>
        <v>4460878.2030393165</v>
      </c>
      <c r="D15" s="71">
        <f>('Network Benefit Calculations'!I17-'Network Benefit Calculations'!L17)+('Network Benefit Calculations'!Q17-'Network Benefit Calculations'!T17)</f>
        <v>2639041.737975792</v>
      </c>
      <c r="E15" s="71">
        <f>'Network Benefit Calculations'!N17-'Network Benefit Calculations'!O17</f>
        <v>17420737.239761233</v>
      </c>
      <c r="F15" s="71">
        <f>SUM('Network Benefit Calculations'!V17:X17)-SUM('Network Benefit Calculations'!Y17:AA17)</f>
        <v>242775.60621172935</v>
      </c>
      <c r="G15" s="71">
        <f>SUM('Network Benefit Calculations'!AB17:AD17)-SUM('Network Benefit Calculations'!AE17:AG17)</f>
        <v>59322.392871269956</v>
      </c>
      <c r="H15" s="72"/>
      <c r="I15" s="70">
        <f t="shared" si="26"/>
        <v>2032</v>
      </c>
      <c r="J15" s="75">
        <f t="shared" si="27"/>
        <v>0.91077960490557552</v>
      </c>
      <c r="K15" s="75">
        <f t="shared" si="28"/>
        <v>4.4608782030393161</v>
      </c>
      <c r="L15" s="75">
        <f t="shared" si="29"/>
        <v>2.6390417379757922</v>
      </c>
      <c r="M15" s="75">
        <f t="shared" si="30"/>
        <v>0.24277560621172936</v>
      </c>
      <c r="N15" s="73">
        <f t="shared" si="31"/>
        <v>5.9322392871269954E-2</v>
      </c>
      <c r="O15" s="169">
        <f t="shared" si="6"/>
        <v>17.420737239761234</v>
      </c>
      <c r="P15" s="75">
        <f t="shared" si="32"/>
        <v>25.733534784764917</v>
      </c>
      <c r="Q15" s="72"/>
      <c r="R15" s="74">
        <f t="shared" si="33"/>
        <v>2032</v>
      </c>
      <c r="S15" s="75">
        <f t="shared" si="34"/>
        <v>0.602132613979523</v>
      </c>
      <c r="T15" s="75">
        <f t="shared" si="35"/>
        <v>2.9491660096174579</v>
      </c>
      <c r="U15" s="75">
        <f t="shared" si="36"/>
        <v>1.7447174832743113</v>
      </c>
      <c r="V15" s="75">
        <f t="shared" si="37"/>
        <v>0.16050327608498366</v>
      </c>
      <c r="W15" s="75">
        <f t="shared" si="38"/>
        <v>3.9219090210964092E-2</v>
      </c>
      <c r="X15" s="75">
        <f t="shared" si="39"/>
        <v>11.517159579693656</v>
      </c>
      <c r="Y15" s="75">
        <f t="shared" si="40"/>
        <v>17.012898052860898</v>
      </c>
      <c r="Z15" s="76">
        <f t="shared" si="16"/>
        <v>0.66111780581861923</v>
      </c>
      <c r="AA15" s="72"/>
      <c r="AB15" s="74">
        <f t="shared" si="41"/>
        <v>2032</v>
      </c>
      <c r="AC15" s="75">
        <f t="shared" si="42"/>
        <v>0.35321603354932951</v>
      </c>
      <c r="AD15" s="75">
        <f t="shared" si="43"/>
        <v>1.7300054772170297</v>
      </c>
      <c r="AE15" s="75">
        <f t="shared" si="44"/>
        <v>1.0234658857513379</v>
      </c>
      <c r="AF15" s="75">
        <f t="shared" si="45"/>
        <v>9.4152565787341408E-2</v>
      </c>
      <c r="AG15" s="75">
        <f t="shared" si="48"/>
        <v>2.3006246733881738E-2</v>
      </c>
      <c r="AH15" s="75">
        <f t="shared" si="46"/>
        <v>6.7560622528119696</v>
      </c>
      <c r="AI15" s="75">
        <f t="shared" si="47"/>
        <v>9.97990846185089</v>
      </c>
      <c r="AJ15" s="76">
        <f t="shared" si="25"/>
        <v>0.3878172410173249</v>
      </c>
    </row>
    <row r="16" spans="1:36" x14ac:dyDescent="0.25">
      <c r="A16" s="70">
        <f>'Network Benefit Calculations'!A18</f>
        <v>2033</v>
      </c>
      <c r="B16" s="71">
        <f>SUM('Network Benefit Calculations'!B18:D18)-SUM('Network Benefit Calculations'!E18:G18)</f>
        <v>926132.90642789006</v>
      </c>
      <c r="C16" s="71">
        <f>('Network Benefit Calculations'!H18-'Network Benefit Calculations'!K18)+('Network Benefit Calculations'!J18-'Network Benefit Calculations'!M18)+('Network Benefit Calculations'!P18-'Network Benefit Calculations'!S18)+('Network Benefit Calculations'!R18-'Network Benefit Calculations'!U18)</f>
        <v>4552799.9437440392</v>
      </c>
      <c r="D16" s="71">
        <f>('Network Benefit Calculations'!I18-'Network Benefit Calculations'!L18)+('Network Benefit Calculations'!Q18-'Network Benefit Calculations'!T18)</f>
        <v>2615557.4887729064</v>
      </c>
      <c r="E16" s="71">
        <f>'Network Benefit Calculations'!N18-'Network Benefit Calculations'!O18</f>
        <v>17975665.510613889</v>
      </c>
      <c r="F16" s="71">
        <f>SUM('Network Benefit Calculations'!V18:X18)-SUM('Network Benefit Calculations'!Y18:AA18)</f>
        <v>248342.56381075084</v>
      </c>
      <c r="G16" s="71">
        <f>SUM('Network Benefit Calculations'!AB18:AD18)-SUM('Network Benefit Calculations'!AE18:AG18)</f>
        <v>59382.072523957118</v>
      </c>
      <c r="H16" s="72"/>
      <c r="I16" s="70">
        <f t="shared" si="26"/>
        <v>2033</v>
      </c>
      <c r="J16" s="75">
        <f t="shared" si="27"/>
        <v>0.92613290642789003</v>
      </c>
      <c r="K16" s="75">
        <f t="shared" si="28"/>
        <v>4.5527999437440387</v>
      </c>
      <c r="L16" s="75">
        <f t="shared" si="29"/>
        <v>2.6155574887729065</v>
      </c>
      <c r="M16" s="75">
        <f t="shared" si="30"/>
        <v>0.24834256381075084</v>
      </c>
      <c r="N16" s="73">
        <f t="shared" si="31"/>
        <v>5.9382072523957122E-2</v>
      </c>
      <c r="O16" s="169">
        <f t="shared" si="6"/>
        <v>17.97566551061389</v>
      </c>
      <c r="P16" s="75">
        <f t="shared" si="32"/>
        <v>26.377880485893435</v>
      </c>
      <c r="Q16" s="72"/>
      <c r="R16" s="74">
        <f t="shared" si="33"/>
        <v>2033</v>
      </c>
      <c r="S16" s="75">
        <f t="shared" si="34"/>
        <v>0.59444947086798761</v>
      </c>
      <c r="T16" s="75">
        <f t="shared" si="35"/>
        <v>2.9222690379992153</v>
      </c>
      <c r="U16" s="75">
        <f t="shared" si="36"/>
        <v>1.6788268232718462</v>
      </c>
      <c r="V16" s="75">
        <f t="shared" si="37"/>
        <v>0.15940164162906215</v>
      </c>
      <c r="W16" s="75">
        <f t="shared" si="38"/>
        <v>3.811509271068024E-2</v>
      </c>
      <c r="X16" s="75">
        <f t="shared" si="39"/>
        <v>11.537895670394644</v>
      </c>
      <c r="Y16" s="75">
        <f t="shared" si="40"/>
        <v>16.930957736873435</v>
      </c>
      <c r="Z16" s="76">
        <f t="shared" si="16"/>
        <v>0.64186194739671765</v>
      </c>
      <c r="AA16" s="72"/>
      <c r="AB16" s="74">
        <f t="shared" si="41"/>
        <v>2033</v>
      </c>
      <c r="AC16" s="75">
        <f t="shared" si="42"/>
        <v>0.33567318559459869</v>
      </c>
      <c r="AD16" s="75">
        <f t="shared" si="43"/>
        <v>1.6501442178379859</v>
      </c>
      <c r="AE16" s="75">
        <f t="shared" si="44"/>
        <v>0.94799840095150578</v>
      </c>
      <c r="AF16" s="75">
        <f t="shared" si="45"/>
        <v>9.001077376098536E-2</v>
      </c>
      <c r="AG16" s="75">
        <f t="shared" si="48"/>
        <v>2.1522795824422191E-2</v>
      </c>
      <c r="AH16" s="75">
        <f t="shared" si="46"/>
        <v>6.5152084147444489</v>
      </c>
      <c r="AI16" s="75">
        <f t="shared" si="47"/>
        <v>9.5605577887139468</v>
      </c>
      <c r="AJ16" s="76">
        <f t="shared" si="25"/>
        <v>0.36244601964235967</v>
      </c>
    </row>
    <row r="17" spans="1:36" x14ac:dyDescent="0.25">
      <c r="A17" s="70">
        <f>'Network Benefit Calculations'!A19</f>
        <v>2034</v>
      </c>
      <c r="B17" s="71">
        <f>SUM('Network Benefit Calculations'!B19:D19)-SUM('Network Benefit Calculations'!E19:G19)</f>
        <v>941306.32897552848</v>
      </c>
      <c r="C17" s="71">
        <f>('Network Benefit Calculations'!H19-'Network Benefit Calculations'!K19)+('Network Benefit Calculations'!J19-'Network Benefit Calculations'!M19)+('Network Benefit Calculations'!P19-'Network Benefit Calculations'!S19)+('Network Benefit Calculations'!R19-'Network Benefit Calculations'!U19)</f>
        <v>4647624.6639265446</v>
      </c>
      <c r="D17" s="71">
        <f>('Network Benefit Calculations'!I19-'Network Benefit Calculations'!L19)+('Network Benefit Calculations'!Q19-'Network Benefit Calculations'!T19)</f>
        <v>2592054.9564240207</v>
      </c>
      <c r="E17" s="71">
        <f>'Network Benefit Calculations'!N19-'Network Benefit Calculations'!O19</f>
        <v>18546298.540429235</v>
      </c>
      <c r="F17" s="71">
        <f>SUM('Network Benefit Calculations'!V19:X19)-SUM('Network Benefit Calculations'!Y19:AA19)</f>
        <v>253886.39484228194</v>
      </c>
      <c r="G17" s="71">
        <f>SUM('Network Benefit Calculations'!AB19:AD19)-SUM('Network Benefit Calculations'!AE19:AG19)</f>
        <v>59414.205504208803</v>
      </c>
      <c r="H17" s="72"/>
      <c r="I17" s="70">
        <f t="shared" si="26"/>
        <v>2034</v>
      </c>
      <c r="J17" s="73">
        <f t="shared" si="27"/>
        <v>0.94130632897552846</v>
      </c>
      <c r="K17" s="73">
        <f t="shared" si="28"/>
        <v>4.6476246639265444</v>
      </c>
      <c r="L17" s="73">
        <f t="shared" si="29"/>
        <v>2.5920549564240205</v>
      </c>
      <c r="M17" s="73">
        <f t="shared" si="30"/>
        <v>0.25388639484228193</v>
      </c>
      <c r="N17" s="73">
        <f t="shared" si="31"/>
        <v>5.9414205504208804E-2</v>
      </c>
      <c r="O17" s="169">
        <f t="shared" si="6"/>
        <v>18.546298540429234</v>
      </c>
      <c r="P17" s="73">
        <f t="shared" si="32"/>
        <v>27.040585090101818</v>
      </c>
      <c r="Q17" s="72"/>
      <c r="R17" s="74">
        <f t="shared" si="33"/>
        <v>2034</v>
      </c>
      <c r="S17" s="75">
        <f t="shared" si="34"/>
        <v>0.58659098389620212</v>
      </c>
      <c r="T17" s="75">
        <f t="shared" si="35"/>
        <v>2.8962460364630171</v>
      </c>
      <c r="U17" s="75">
        <f t="shared" si="36"/>
        <v>1.6152829534850837</v>
      </c>
      <c r="V17" s="75">
        <f t="shared" si="37"/>
        <v>0.15821360758349426</v>
      </c>
      <c r="W17" s="75">
        <f t="shared" si="38"/>
        <v>3.7024968590252672E-2</v>
      </c>
      <c r="X17" s="75">
        <f t="shared" si="39"/>
        <v>11.557440095301759</v>
      </c>
      <c r="Y17" s="75">
        <f t="shared" si="40"/>
        <v>16.850798645319809</v>
      </c>
      <c r="Z17" s="76">
        <f t="shared" si="16"/>
        <v>0.62316693922011435</v>
      </c>
      <c r="AA17" s="72"/>
      <c r="AB17" s="74">
        <f t="shared" si="41"/>
        <v>2034</v>
      </c>
      <c r="AC17" s="75">
        <f t="shared" si="42"/>
        <v>0.31885302074891769</v>
      </c>
      <c r="AD17" s="75">
        <f t="shared" si="43"/>
        <v>1.5743112712447063</v>
      </c>
      <c r="AE17" s="75">
        <f t="shared" si="44"/>
        <v>0.87801869313096859</v>
      </c>
      <c r="AF17" s="75">
        <f t="shared" si="45"/>
        <v>8.6000105842928609E-2</v>
      </c>
      <c r="AG17" s="75">
        <f t="shared" si="48"/>
        <v>2.0125647004872581E-2</v>
      </c>
      <c r="AH17" s="75">
        <f t="shared" si="46"/>
        <v>6.2822729767079268</v>
      </c>
      <c r="AI17" s="75">
        <f t="shared" si="47"/>
        <v>9.1595817146803213</v>
      </c>
      <c r="AJ17" s="76">
        <f t="shared" si="25"/>
        <v>0.33873459779659787</v>
      </c>
    </row>
    <row r="18" spans="1:36" x14ac:dyDescent="0.25">
      <c r="A18" s="70">
        <f>'Network Benefit Calculations'!A20</f>
        <v>2035</v>
      </c>
      <c r="B18" s="71">
        <f>SUM('Network Benefit Calculations'!B20:D20)-SUM('Network Benefit Calculations'!E20:G20)</f>
        <v>956293.85026273131</v>
      </c>
      <c r="C18" s="71">
        <f>('Network Benefit Calculations'!H20-'Network Benefit Calculations'!K20)+('Network Benefit Calculations'!J20-'Network Benefit Calculations'!M20)+('Network Benefit Calculations'!P20-'Network Benefit Calculations'!S20)+('Network Benefit Calculations'!R20-'Network Benefit Calculations'!U20)</f>
        <v>4745429.596120581</v>
      </c>
      <c r="D18" s="71">
        <f>('Network Benefit Calculations'!I20-'Network Benefit Calculations'!L20)+('Network Benefit Calculations'!Q20-'Network Benefit Calculations'!T20)</f>
        <v>2568534.1300503048</v>
      </c>
      <c r="E18" s="71">
        <f>'Network Benefit Calculations'!N20-'Network Benefit Calculations'!O20</f>
        <v>19133052.950911552</v>
      </c>
      <c r="F18" s="71">
        <f>SUM('Network Benefit Calculations'!V20:X20)-SUM('Network Benefit Calculations'!Y20:AA20)</f>
        <v>259406.29106707126</v>
      </c>
      <c r="G18" s="71">
        <f>SUM('Network Benefit Calculations'!AB20:AD20)-SUM('Network Benefit Calculations'!AE20:AG20)</f>
        <v>59417.891223894432</v>
      </c>
      <c r="H18" s="72"/>
      <c r="I18" s="70">
        <f t="shared" si="26"/>
        <v>2035</v>
      </c>
      <c r="J18" s="75">
        <f t="shared" si="27"/>
        <v>0.95629385026273128</v>
      </c>
      <c r="K18" s="75">
        <f t="shared" si="28"/>
        <v>4.745429596120581</v>
      </c>
      <c r="L18" s="75">
        <f t="shared" si="29"/>
        <v>2.5685341300503048</v>
      </c>
      <c r="M18" s="75">
        <f t="shared" si="30"/>
        <v>0.25940629106707125</v>
      </c>
      <c r="N18" s="73">
        <f t="shared" si="31"/>
        <v>5.9417891223894431E-2</v>
      </c>
      <c r="O18" s="169">
        <f t="shared" si="6"/>
        <v>19.133052950911551</v>
      </c>
      <c r="P18" s="75">
        <f t="shared" si="32"/>
        <v>27.722134709636133</v>
      </c>
      <c r="Q18" s="72"/>
      <c r="R18" s="74">
        <f t="shared" si="33"/>
        <v>2035</v>
      </c>
      <c r="S18" s="75">
        <f t="shared" si="34"/>
        <v>0.5785735064691695</v>
      </c>
      <c r="T18" s="75">
        <f t="shared" si="35"/>
        <v>2.871062948251462</v>
      </c>
      <c r="U18" s="75">
        <f t="shared" si="36"/>
        <v>1.5540053903940267</v>
      </c>
      <c r="V18" s="75">
        <f t="shared" si="37"/>
        <v>0.15694507225117366</v>
      </c>
      <c r="W18" s="75">
        <f t="shared" si="38"/>
        <v>3.5948801367871833E-2</v>
      </c>
      <c r="X18" s="75">
        <f t="shared" si="39"/>
        <v>11.575811694520318</v>
      </c>
      <c r="Y18" s="75">
        <f t="shared" si="40"/>
        <v>16.772347413254021</v>
      </c>
      <c r="Z18" s="76">
        <f t="shared" si="16"/>
        <v>0.60501644584477121</v>
      </c>
      <c r="AA18" s="72"/>
      <c r="AB18" s="74">
        <f t="shared" si="41"/>
        <v>2035</v>
      </c>
      <c r="AC18" s="75">
        <f t="shared" si="42"/>
        <v>0.30273814275150118</v>
      </c>
      <c r="AD18" s="75">
        <f t="shared" si="43"/>
        <v>1.5022814818822214</v>
      </c>
      <c r="AE18" s="75">
        <f t="shared" si="44"/>
        <v>0.81313212660693879</v>
      </c>
      <c r="AF18" s="75">
        <f t="shared" si="45"/>
        <v>8.212138847711363E-2</v>
      </c>
      <c r="AG18" s="75">
        <f t="shared" si="48"/>
        <v>1.881018269686718E-2</v>
      </c>
      <c r="AH18" s="75">
        <f t="shared" si="46"/>
        <v>6.0570345756523691</v>
      </c>
      <c r="AI18" s="75">
        <f t="shared" si="47"/>
        <v>8.7761178980670103</v>
      </c>
      <c r="AJ18" s="76">
        <f t="shared" si="25"/>
        <v>0.31657439046411018</v>
      </c>
    </row>
    <row r="19" spans="1:36" x14ac:dyDescent="0.25">
      <c r="A19" s="70">
        <f>'Network Benefit Calculations'!A21</f>
        <v>2036</v>
      </c>
      <c r="B19" s="71">
        <f>SUM('Network Benefit Calculations'!B21:D21)-SUM('Network Benefit Calculations'!E21:G21)</f>
        <v>974892.10223692656</v>
      </c>
      <c r="C19" s="71">
        <f>('Network Benefit Calculations'!H21-'Network Benefit Calculations'!K21)+('Network Benefit Calculations'!J21-'Network Benefit Calculations'!M21)+('Network Benefit Calculations'!P21-'Network Benefit Calculations'!S21)+('Network Benefit Calculations'!R21-'Network Benefit Calculations'!U21)</f>
        <v>4901721.5177999008</v>
      </c>
      <c r="D19" s="71">
        <f>('Network Benefit Calculations'!I21-'Network Benefit Calculations'!L21)+('Network Benefit Calculations'!Q21-'Network Benefit Calculations'!T21)</f>
        <v>2559633.2046831129</v>
      </c>
      <c r="E19" s="71">
        <f>'Network Benefit Calculations'!N21-'Network Benefit Calculations'!O21</f>
        <v>19736355.973991573</v>
      </c>
      <c r="F19" s="71">
        <f>SUM('Network Benefit Calculations'!V21:X21)-SUM('Network Benefit Calculations'!Y21:AA21)</f>
        <v>264901.42295379937</v>
      </c>
      <c r="G19" s="71">
        <f>SUM('Network Benefit Calculations'!AB21:AD21)-SUM('Network Benefit Calculations'!AE21:AG21)</f>
        <v>60163.054222688079</v>
      </c>
      <c r="H19" s="72"/>
      <c r="I19" s="70">
        <f t="shared" si="26"/>
        <v>2036</v>
      </c>
      <c r="J19" s="75">
        <f t="shared" si="27"/>
        <v>0.97489210223692657</v>
      </c>
      <c r="K19" s="75">
        <f t="shared" si="28"/>
        <v>4.901721517799901</v>
      </c>
      <c r="L19" s="75">
        <f t="shared" si="29"/>
        <v>2.559633204683113</v>
      </c>
      <c r="M19" s="75">
        <f t="shared" si="30"/>
        <v>0.26490142295379937</v>
      </c>
      <c r="N19" s="73">
        <f t="shared" si="31"/>
        <v>6.0163054222688077E-2</v>
      </c>
      <c r="O19" s="169">
        <f t="shared" si="6"/>
        <v>19.736355973991571</v>
      </c>
      <c r="P19" s="75">
        <f t="shared" si="32"/>
        <v>28.497667275887999</v>
      </c>
      <c r="Q19" s="72"/>
      <c r="R19" s="74">
        <f t="shared" si="33"/>
        <v>2036</v>
      </c>
      <c r="S19" s="75">
        <f t="shared" si="34"/>
        <v>0.57264636386167245</v>
      </c>
      <c r="T19" s="75">
        <f t="shared" si="35"/>
        <v>2.8792447875923624</v>
      </c>
      <c r="U19" s="75">
        <f t="shared" si="36"/>
        <v>1.5035147419064454</v>
      </c>
      <c r="V19" s="75">
        <f t="shared" si="37"/>
        <v>0.15560166739294193</v>
      </c>
      <c r="W19" s="75">
        <f t="shared" si="38"/>
        <v>3.5339453628133004E-2</v>
      </c>
      <c r="X19" s="75">
        <f t="shared" si="39"/>
        <v>11.593029073118057</v>
      </c>
      <c r="Y19" s="75">
        <f t="shared" si="40"/>
        <v>16.739376087499611</v>
      </c>
      <c r="Z19" s="76">
        <f t="shared" si="16"/>
        <v>0.5873946076162827</v>
      </c>
      <c r="AA19" s="72"/>
      <c r="AB19" s="74">
        <f t="shared" si="41"/>
        <v>2036</v>
      </c>
      <c r="AC19" s="75">
        <f t="shared" si="42"/>
        <v>0.28843539535881307</v>
      </c>
      <c r="AD19" s="75">
        <f t="shared" si="43"/>
        <v>1.4502425249741275</v>
      </c>
      <c r="AE19" s="75">
        <f t="shared" si="44"/>
        <v>0.75730310428434888</v>
      </c>
      <c r="AF19" s="75">
        <f t="shared" si="45"/>
        <v>7.8374772434275208E-2</v>
      </c>
      <c r="AG19" s="75">
        <f t="shared" si="48"/>
        <v>1.7800076840193163E-2</v>
      </c>
      <c r="AH19" s="75">
        <f t="shared" si="46"/>
        <v>5.8392755723823182</v>
      </c>
      <c r="AI19" s="75">
        <f t="shared" si="47"/>
        <v>8.4314314462740754</v>
      </c>
      <c r="AJ19" s="76">
        <f t="shared" si="25"/>
        <v>0.29586391632159825</v>
      </c>
    </row>
    <row r="20" spans="1:36" x14ac:dyDescent="0.25">
      <c r="A20" s="70">
        <f>'Network Benefit Calculations'!A22</f>
        <v>2037</v>
      </c>
      <c r="B20" s="71">
        <f>SUM('Network Benefit Calculations'!B22:D22)-SUM('Network Benefit Calculations'!E22:G22)</f>
        <v>989501.41775625944</v>
      </c>
      <c r="C20" s="71">
        <f>('Network Benefit Calculations'!H22-'Network Benefit Calculations'!K22)+('Network Benefit Calculations'!J22-'Network Benefit Calculations'!M22)+('Network Benefit Calculations'!P22-'Network Benefit Calculations'!S22)+('Network Benefit Calculations'!R22-'Network Benefit Calculations'!U22)</f>
        <v>5007190.6529017175</v>
      </c>
      <c r="D20" s="71">
        <f>('Network Benefit Calculations'!I22-'Network Benefit Calculations'!L22)+('Network Benefit Calculations'!Q22-'Network Benefit Calculations'!T22)</f>
        <v>2535940.2607671269</v>
      </c>
      <c r="E20" s="71">
        <f>'Network Benefit Calculations'!N22-'Network Benefit Calculations'!O22</f>
        <v>20356645.714549035</v>
      </c>
      <c r="F20" s="71">
        <f>SUM('Network Benefit Calculations'!V22:X22)-SUM('Network Benefit Calculations'!Y22:AA22)</f>
        <v>270370.93917025626</v>
      </c>
      <c r="G20" s="71">
        <f>SUM('Network Benefit Calculations'!AB22:AD22)-SUM('Network Benefit Calculations'!AE22:AG22)</f>
        <v>60099.156125925481</v>
      </c>
      <c r="H20" s="72"/>
      <c r="I20" s="70">
        <f t="shared" si="26"/>
        <v>2037</v>
      </c>
      <c r="J20" s="75">
        <f t="shared" si="27"/>
        <v>0.98950141775625944</v>
      </c>
      <c r="K20" s="75">
        <f t="shared" si="28"/>
        <v>5.0071906529017172</v>
      </c>
      <c r="L20" s="75">
        <f t="shared" si="29"/>
        <v>2.5359402607671271</v>
      </c>
      <c r="M20" s="75">
        <f t="shared" si="30"/>
        <v>0.27037093917025623</v>
      </c>
      <c r="N20" s="73">
        <f t="shared" si="31"/>
        <v>6.0099156125925479E-2</v>
      </c>
      <c r="O20" s="169">
        <f t="shared" si="6"/>
        <v>20.356645714549035</v>
      </c>
      <c r="P20" s="75">
        <f t="shared" si="32"/>
        <v>29.219748141270323</v>
      </c>
      <c r="Q20" s="72"/>
      <c r="R20" s="74">
        <f t="shared" si="33"/>
        <v>2037</v>
      </c>
      <c r="S20" s="75">
        <f t="shared" si="34"/>
        <v>0.56429883205698395</v>
      </c>
      <c r="T20" s="75">
        <f t="shared" si="35"/>
        <v>2.8555308629331289</v>
      </c>
      <c r="U20" s="75">
        <f t="shared" si="36"/>
        <v>1.4462112955452819</v>
      </c>
      <c r="V20" s="75">
        <f t="shared" si="37"/>
        <v>0.15418876866481407</v>
      </c>
      <c r="W20" s="75">
        <f t="shared" si="38"/>
        <v>3.4273708961803602E-2</v>
      </c>
      <c r="X20" s="75">
        <f t="shared" si="39"/>
        <v>11.609110603768169</v>
      </c>
      <c r="Y20" s="75">
        <f t="shared" si="40"/>
        <v>16.66361407193018</v>
      </c>
      <c r="Z20" s="76">
        <f t="shared" si="16"/>
        <v>0.57028602681192497</v>
      </c>
      <c r="AA20" s="72"/>
      <c r="AB20" s="74">
        <f t="shared" si="41"/>
        <v>2037</v>
      </c>
      <c r="AC20" s="75">
        <f t="shared" si="42"/>
        <v>0.27360538753564562</v>
      </c>
      <c r="AD20" s="75">
        <f t="shared" si="43"/>
        <v>1.3845299405013107</v>
      </c>
      <c r="AE20" s="75">
        <f t="shared" si="44"/>
        <v>0.70120861411979196</v>
      </c>
      <c r="AF20" s="75">
        <f t="shared" si="45"/>
        <v>7.4759817684542637E-2</v>
      </c>
      <c r="AG20" s="75">
        <f t="shared" si="48"/>
        <v>1.6617917475737837E-2</v>
      </c>
      <c r="AH20" s="75">
        <f t="shared" si="46"/>
        <v>5.6287821722222029</v>
      </c>
      <c r="AI20" s="75">
        <f t="shared" si="47"/>
        <v>8.0795038495392308</v>
      </c>
      <c r="AJ20" s="76">
        <f t="shared" si="25"/>
        <v>0.27650833301083949</v>
      </c>
    </row>
    <row r="21" spans="1:36" x14ac:dyDescent="0.25">
      <c r="A21" s="70">
        <f>'Network Benefit Calculations'!A23</f>
        <v>2038</v>
      </c>
      <c r="B21" s="71">
        <f>SUM('Network Benefit Calculations'!B23:D23)-SUM('Network Benefit Calculations'!E23:G23)</f>
        <v>1003904.1087519526</v>
      </c>
      <c r="C21" s="71">
        <f>('Network Benefit Calculations'!H23-'Network Benefit Calculations'!K23)+('Network Benefit Calculations'!J23-'Network Benefit Calculations'!M23)+('Network Benefit Calculations'!P23-'Network Benefit Calculations'!S23)+('Network Benefit Calculations'!R23-'Network Benefit Calculations'!U23)</f>
        <v>5115926.5803503543</v>
      </c>
      <c r="D21" s="71">
        <f>('Network Benefit Calculations'!I23-'Network Benefit Calculations'!L23)+('Network Benefit Calculations'!Q23-'Network Benefit Calculations'!T23)</f>
        <v>2512228.8847436626</v>
      </c>
      <c r="E21" s="71">
        <f>'Network Benefit Calculations'!N23-'Network Benefit Calculations'!O23</f>
        <v>20994371.419509172</v>
      </c>
      <c r="F21" s="71">
        <f>SUM('Network Benefit Calculations'!V23:X23)-SUM('Network Benefit Calculations'!Y23:AA23)</f>
        <v>275813.96606311202</v>
      </c>
      <c r="G21" s="71">
        <f>SUM('Network Benefit Calculations'!AB23:AD23)-SUM('Network Benefit Calculations'!AE23:AG23)</f>
        <v>60003.416608296335</v>
      </c>
      <c r="H21" s="72"/>
      <c r="I21" s="70">
        <f t="shared" si="26"/>
        <v>2038</v>
      </c>
      <c r="J21" s="73">
        <f t="shared" si="27"/>
        <v>1.0039041087519527</v>
      </c>
      <c r="K21" s="73">
        <f t="shared" si="28"/>
        <v>5.1159265803503544</v>
      </c>
      <c r="L21" s="73">
        <f t="shared" si="29"/>
        <v>2.5122288847436627</v>
      </c>
      <c r="M21" s="73">
        <f t="shared" si="30"/>
        <v>0.27581396606311204</v>
      </c>
      <c r="N21" s="73">
        <f t="shared" si="31"/>
        <v>6.0003416608296334E-2</v>
      </c>
      <c r="O21" s="169">
        <f t="shared" si="6"/>
        <v>20.994371419509172</v>
      </c>
      <c r="P21" s="73">
        <f t="shared" si="32"/>
        <v>29.962248376026551</v>
      </c>
      <c r="Q21" s="72"/>
      <c r="R21" s="74">
        <f t="shared" si="33"/>
        <v>2038</v>
      </c>
      <c r="S21" s="75">
        <f t="shared" si="34"/>
        <v>0.55583736454399779</v>
      </c>
      <c r="T21" s="75">
        <f t="shared" si="35"/>
        <v>2.8325645077374002</v>
      </c>
      <c r="U21" s="75">
        <f t="shared" si="36"/>
        <v>1.3909602224491426</v>
      </c>
      <c r="V21" s="75">
        <f t="shared" si="37"/>
        <v>0.15271150567511776</v>
      </c>
      <c r="W21" s="75">
        <f t="shared" si="38"/>
        <v>3.3222436944355331E-2</v>
      </c>
      <c r="X21" s="75">
        <f t="shared" si="39"/>
        <v>11.624074429364777</v>
      </c>
      <c r="Y21" s="75">
        <f t="shared" si="40"/>
        <v>16.58937046671479</v>
      </c>
      <c r="Z21" s="76">
        <f t="shared" si="16"/>
        <v>0.55367575418633497</v>
      </c>
      <c r="AA21" s="72"/>
      <c r="AB21" s="74">
        <f t="shared" si="41"/>
        <v>2038</v>
      </c>
      <c r="AC21" s="75">
        <f t="shared" si="42"/>
        <v>0.25942789870442523</v>
      </c>
      <c r="AD21" s="75">
        <f t="shared" si="43"/>
        <v>1.3220526453631039</v>
      </c>
      <c r="AE21" s="75">
        <f t="shared" si="44"/>
        <v>0.64920768323565481</v>
      </c>
      <c r="AF21" s="75">
        <f t="shared" si="45"/>
        <v>7.1275570072167643E-2</v>
      </c>
      <c r="AG21" s="75">
        <f t="shared" si="48"/>
        <v>1.5506023085341067E-2</v>
      </c>
      <c r="AH21" s="75">
        <f t="shared" si="46"/>
        <v>5.4253445269335456</v>
      </c>
      <c r="AI21" s="75">
        <f t="shared" si="47"/>
        <v>7.7428143473942388</v>
      </c>
      <c r="AJ21" s="76">
        <f t="shared" si="25"/>
        <v>0.2584190028138687</v>
      </c>
    </row>
    <row r="22" spans="1:36" x14ac:dyDescent="0.25">
      <c r="A22" s="70">
        <f>'Network Benefit Calculations'!A24</f>
        <v>2039</v>
      </c>
      <c r="B22" s="71">
        <f>SUM('Network Benefit Calculations'!B24:D24)-SUM('Network Benefit Calculations'!E24:G24)</f>
        <v>1018093.4413736761</v>
      </c>
      <c r="C22" s="71">
        <f>('Network Benefit Calculations'!H24-'Network Benefit Calculations'!K24)+('Network Benefit Calculations'!J24-'Network Benefit Calculations'!M24)+('Network Benefit Calculations'!P24-'Network Benefit Calculations'!S24)+('Network Benefit Calculations'!R24-'Network Benefit Calculations'!U24)</f>
        <v>5228015.8320866954</v>
      </c>
      <c r="D22" s="71">
        <f>('Network Benefit Calculations'!I24-'Network Benefit Calculations'!L24)+('Network Benefit Calculations'!Q24-'Network Benefit Calculations'!T24)</f>
        <v>2488499.0656475206</v>
      </c>
      <c r="E22" s="71">
        <f>'Network Benefit Calculations'!N24-'Network Benefit Calculations'!O24</f>
        <v>21649993.753463298</v>
      </c>
      <c r="F22" s="71">
        <f>SUM('Network Benefit Calculations'!V24:X24)-SUM('Network Benefit Calculations'!Y24:AA24)</f>
        <v>281229.60712596029</v>
      </c>
      <c r="G22" s="71">
        <f>SUM('Network Benefit Calculations'!AB24:AD24)-SUM('Network Benefit Calculations'!AE24:AG24)</f>
        <v>59874.819352336228</v>
      </c>
      <c r="H22" s="72"/>
      <c r="I22" s="70">
        <f t="shared" si="26"/>
        <v>2039</v>
      </c>
      <c r="J22" s="75">
        <f t="shared" si="27"/>
        <v>1.018093441373676</v>
      </c>
      <c r="K22" s="75">
        <f t="shared" si="28"/>
        <v>5.2280158320866956</v>
      </c>
      <c r="L22" s="75">
        <f t="shared" si="29"/>
        <v>2.4884990656475208</v>
      </c>
      <c r="M22" s="75">
        <f t="shared" si="30"/>
        <v>0.28122960712596029</v>
      </c>
      <c r="N22" s="73">
        <f t="shared" si="31"/>
        <v>5.9874819352336225E-2</v>
      </c>
      <c r="O22" s="169">
        <f t="shared" si="6"/>
        <v>21.649993753463299</v>
      </c>
      <c r="P22" s="75">
        <f t="shared" si="32"/>
        <v>30.725706519049488</v>
      </c>
      <c r="Q22" s="72"/>
      <c r="R22" s="74">
        <f t="shared" si="33"/>
        <v>2039</v>
      </c>
      <c r="S22" s="75">
        <f t="shared" si="34"/>
        <v>0.54727539221818566</v>
      </c>
      <c r="T22" s="75">
        <f t="shared" si="35"/>
        <v>2.8103161249793214</v>
      </c>
      <c r="U22" s="75">
        <f t="shared" si="36"/>
        <v>1.3376908708392048</v>
      </c>
      <c r="V22" s="75">
        <f t="shared" si="37"/>
        <v>0.15117477167475024</v>
      </c>
      <c r="W22" s="75">
        <f t="shared" si="38"/>
        <v>3.2185665788034293E-2</v>
      </c>
      <c r="X22" s="75">
        <f t="shared" si="39"/>
        <v>11.637938465609935</v>
      </c>
      <c r="Y22" s="75">
        <f t="shared" si="40"/>
        <v>16.516581291109432</v>
      </c>
      <c r="Z22" s="76">
        <f t="shared" si="16"/>
        <v>0.5375492759090631</v>
      </c>
      <c r="AA22" s="72"/>
      <c r="AB22" s="74">
        <f t="shared" si="41"/>
        <v>2039</v>
      </c>
      <c r="AC22" s="75">
        <f t="shared" si="42"/>
        <v>0.24588288961787405</v>
      </c>
      <c r="AD22" s="75">
        <f t="shared" si="43"/>
        <v>1.262634241142955</v>
      </c>
      <c r="AE22" s="75">
        <f t="shared" si="44"/>
        <v>0.60100509069894981</v>
      </c>
      <c r="AF22" s="75">
        <f t="shared" si="45"/>
        <v>6.7920630500211895E-2</v>
      </c>
      <c r="AG22" s="75">
        <f t="shared" si="48"/>
        <v>1.4460552439898369E-2</v>
      </c>
      <c r="AH22" s="75">
        <f t="shared" si="46"/>
        <v>5.2287568193424976</v>
      </c>
      <c r="AI22" s="75">
        <f t="shared" si="47"/>
        <v>7.4206602237423862</v>
      </c>
      <c r="AJ22" s="76">
        <f t="shared" si="25"/>
        <v>0.24151308674193336</v>
      </c>
    </row>
    <row r="23" spans="1:36" x14ac:dyDescent="0.25">
      <c r="A23" s="70">
        <f>'Network Benefit Calculations'!A25</f>
        <v>2040</v>
      </c>
      <c r="B23" s="71">
        <f>SUM('Network Benefit Calculations'!B25:D25)-SUM('Network Benefit Calculations'!E25:G25)</f>
        <v>1032062.5060786903</v>
      </c>
      <c r="C23" s="71">
        <f>('Network Benefit Calculations'!H25-'Network Benefit Calculations'!K25)+('Network Benefit Calculations'!J25-'Network Benefit Calculations'!M25)+('Network Benefit Calculations'!P25-'Network Benefit Calculations'!S25)+('Network Benefit Calculations'!R25-'Network Benefit Calculations'!U25)</f>
        <v>5343547.1379187964</v>
      </c>
      <c r="D23" s="71">
        <f>('Network Benefit Calculations'!I25-'Network Benefit Calculations'!L25)+('Network Benefit Calculations'!Q25-'Network Benefit Calculations'!T25)</f>
        <v>2464750.7925074548</v>
      </c>
      <c r="E23" s="71">
        <f>'Network Benefit Calculations'!N25-'Network Benefit Calculations'!O25</f>
        <v>22323985.080971509</v>
      </c>
      <c r="F23" s="71">
        <f>SUM('Network Benefit Calculations'!V25:X25)-SUM('Network Benefit Calculations'!Y25:AA25)</f>
        <v>286616.9424553588</v>
      </c>
      <c r="G23" s="71">
        <f>SUM('Network Benefit Calculations'!AB25:AD25)-SUM('Network Benefit Calculations'!AE25:AG25)</f>
        <v>59712.321527967229</v>
      </c>
      <c r="H23" s="72"/>
      <c r="I23" s="70">
        <f t="shared" si="26"/>
        <v>2040</v>
      </c>
      <c r="J23" s="75">
        <f t="shared" si="27"/>
        <v>1.0320625060786903</v>
      </c>
      <c r="K23" s="75">
        <f t="shared" si="28"/>
        <v>5.3435471379187964</v>
      </c>
      <c r="L23" s="75">
        <f t="shared" si="29"/>
        <v>2.4647507925074548</v>
      </c>
      <c r="M23" s="75">
        <f t="shared" si="30"/>
        <v>0.28661694245535879</v>
      </c>
      <c r="N23" s="73">
        <f t="shared" si="31"/>
        <v>5.9712321527967231E-2</v>
      </c>
      <c r="O23" s="169">
        <f t="shared" si="6"/>
        <v>22.323985080971511</v>
      </c>
      <c r="P23" s="75">
        <f t="shared" si="32"/>
        <v>31.510674781459777</v>
      </c>
      <c r="Q23" s="72"/>
      <c r="R23" s="74">
        <f t="shared" si="33"/>
        <v>2040</v>
      </c>
      <c r="S23" s="75">
        <f t="shared" si="34"/>
        <v>0.53862568236455632</v>
      </c>
      <c r="T23" s="75">
        <f t="shared" si="35"/>
        <v>2.7887571793924231</v>
      </c>
      <c r="U23" s="75">
        <f t="shared" si="36"/>
        <v>1.2863349551540502</v>
      </c>
      <c r="V23" s="75">
        <f t="shared" si="37"/>
        <v>0.1495832328933473</v>
      </c>
      <c r="W23" s="75">
        <f t="shared" si="38"/>
        <v>3.1163412815735869E-2</v>
      </c>
      <c r="X23" s="75">
        <f t="shared" si="39"/>
        <v>11.65072040357375</v>
      </c>
      <c r="Y23" s="75">
        <f t="shared" si="40"/>
        <v>16.445184866193863</v>
      </c>
      <c r="Z23" s="76">
        <f t="shared" si="16"/>
        <v>0.52189250088258554</v>
      </c>
      <c r="AA23" s="72"/>
      <c r="AB23" s="74">
        <f t="shared" si="41"/>
        <v>2040</v>
      </c>
      <c r="AC23" s="75">
        <f t="shared" si="42"/>
        <v>0.2329500949099812</v>
      </c>
      <c r="AD23" s="75">
        <f t="shared" si="43"/>
        <v>1.2061089377848524</v>
      </c>
      <c r="AE23" s="75">
        <f t="shared" si="44"/>
        <v>0.55632670275523544</v>
      </c>
      <c r="AF23" s="75">
        <f t="shared" si="45"/>
        <v>6.4693217275634388E-2</v>
      </c>
      <c r="AG23" s="75">
        <f t="shared" si="48"/>
        <v>1.3477857092286136E-2</v>
      </c>
      <c r="AH23" s="75">
        <f t="shared" si="46"/>
        <v>5.0388173320432701</v>
      </c>
      <c r="AI23" s="75">
        <f t="shared" si="47"/>
        <v>7.1123741418612596</v>
      </c>
      <c r="AJ23" s="76">
        <f t="shared" si="25"/>
        <v>0.22571316517937698</v>
      </c>
    </row>
    <row r="24" spans="1:36" x14ac:dyDescent="0.25">
      <c r="A24" s="70">
        <f>'Network Benefit Calculations'!A26</f>
        <v>2041</v>
      </c>
      <c r="B24" s="71">
        <f>SUM('Network Benefit Calculations'!B26:D26)-SUM('Network Benefit Calculations'!E26:G26)</f>
        <v>1045804.2134548426</v>
      </c>
      <c r="C24" s="71">
        <f>('Network Benefit Calculations'!H26-'Network Benefit Calculations'!K26)+('Network Benefit Calculations'!J26-'Network Benefit Calculations'!M26)+('Network Benefit Calculations'!P26-'Network Benefit Calculations'!S26)+('Network Benefit Calculations'!R26-'Network Benefit Calculations'!U26)</f>
        <v>5462611.4798385007</v>
      </c>
      <c r="D24" s="71">
        <f>('Network Benefit Calculations'!I26-'Network Benefit Calculations'!L26)+('Network Benefit Calculations'!Q26-'Network Benefit Calculations'!T26)</f>
        <v>2440984.0543467482</v>
      </c>
      <c r="E24" s="71">
        <f>'Network Benefit Calculations'!N26-'Network Benefit Calculations'!O26</f>
        <v>23016829.75570634</v>
      </c>
      <c r="F24" s="71">
        <f>SUM('Network Benefit Calculations'!V26:X26)-SUM('Network Benefit Calculations'!Y26:AA26)</f>
        <v>291975.02819465846</v>
      </c>
      <c r="G24" s="71">
        <f>SUM('Network Benefit Calculations'!AB26:AD26)-SUM('Network Benefit Calculations'!AE26:AG26)</f>
        <v>59514.853162210435</v>
      </c>
      <c r="H24" s="72"/>
      <c r="I24" s="70">
        <f t="shared" si="26"/>
        <v>2041</v>
      </c>
      <c r="J24" s="75">
        <f t="shared" si="27"/>
        <v>1.0458042134548426</v>
      </c>
      <c r="K24" s="75">
        <f t="shared" si="28"/>
        <v>5.4626114798385004</v>
      </c>
      <c r="L24" s="75">
        <f t="shared" si="29"/>
        <v>2.4409840543467483</v>
      </c>
      <c r="M24" s="75">
        <f t="shared" si="30"/>
        <v>0.29197502819465848</v>
      </c>
      <c r="N24" s="73">
        <f t="shared" si="31"/>
        <v>5.9514853162210432E-2</v>
      </c>
      <c r="O24" s="169">
        <f t="shared" si="6"/>
        <v>23.01682975570634</v>
      </c>
      <c r="P24" s="75">
        <f t="shared" si="32"/>
        <v>32.317719384703302</v>
      </c>
      <c r="Q24" s="72"/>
      <c r="R24" s="74">
        <f t="shared" si="33"/>
        <v>2041</v>
      </c>
      <c r="S24" s="75">
        <f t="shared" si="34"/>
        <v>0.52990036543057584</v>
      </c>
      <c r="T24" s="75">
        <f t="shared" si="35"/>
        <v>2.7678601617114915</v>
      </c>
      <c r="U24" s="75">
        <f t="shared" si="36"/>
        <v>1.2368264783859586</v>
      </c>
      <c r="V24" s="75">
        <f t="shared" si="37"/>
        <v>0.1479413375337609</v>
      </c>
      <c r="W24" s="75">
        <f t="shared" si="38"/>
        <v>3.0155685006296947E-2</v>
      </c>
      <c r="X24" s="75">
        <f t="shared" si="39"/>
        <v>11.662437712227467</v>
      </c>
      <c r="Y24" s="75">
        <f t="shared" si="40"/>
        <v>16.375121740295551</v>
      </c>
      <c r="Z24" s="76">
        <f t="shared" si="16"/>
        <v>0.50669174842969467</v>
      </c>
      <c r="AA24" s="72"/>
      <c r="AB24" s="74">
        <f t="shared" si="41"/>
        <v>2041</v>
      </c>
      <c r="AC24" s="75">
        <f t="shared" si="42"/>
        <v>0.22060913941759</v>
      </c>
      <c r="AD24" s="75">
        <f t="shared" si="43"/>
        <v>1.1523208665977087</v>
      </c>
      <c r="AE24" s="75">
        <f t="shared" si="44"/>
        <v>0.51491797855980637</v>
      </c>
      <c r="AF24" s="75">
        <f t="shared" si="45"/>
        <v>6.1591222212293642E-2</v>
      </c>
      <c r="AG24" s="75">
        <f t="shared" si="48"/>
        <v>1.2554472787316232E-2</v>
      </c>
      <c r="AH24" s="75">
        <f t="shared" si="46"/>
        <v>4.8553285014535925</v>
      </c>
      <c r="AI24" s="75">
        <f t="shared" si="47"/>
        <v>6.8173221810283078</v>
      </c>
      <c r="AJ24" s="76">
        <f t="shared" si="25"/>
        <v>0.21094688334521211</v>
      </c>
    </row>
    <row r="25" spans="1:36" x14ac:dyDescent="0.25">
      <c r="A25" s="70">
        <f>'Network Benefit Calculations'!A27</f>
        <v>2042</v>
      </c>
      <c r="B25" s="71">
        <f>SUM('Network Benefit Calculations'!B27:D27)-SUM('Network Benefit Calculations'!E27:G27)</f>
        <v>1059311.2899496257</v>
      </c>
      <c r="C25" s="71">
        <f>('Network Benefit Calculations'!H27-'Network Benefit Calculations'!K27)+('Network Benefit Calculations'!J27-'Network Benefit Calculations'!M27)+('Network Benefit Calculations'!P27-'Network Benefit Calculations'!S27)+('Network Benefit Calculations'!R27-'Network Benefit Calculations'!U27)</f>
        <v>5585302.147652667</v>
      </c>
      <c r="D25" s="71">
        <f>('Network Benefit Calculations'!I27-'Network Benefit Calculations'!L27)+('Network Benefit Calculations'!Q27-'Network Benefit Calculations'!T27)</f>
        <v>2417198.8401821884</v>
      </c>
      <c r="E25" s="71">
        <f>'Network Benefit Calculations'!N27-'Network Benefit Calculations'!O27</f>
        <v>23729024.41659829</v>
      </c>
      <c r="F25" s="71">
        <f>SUM('Network Benefit Calculations'!V27:X27)-SUM('Network Benefit Calculations'!Y27:AA27)</f>
        <v>297302.89596503228</v>
      </c>
      <c r="G25" s="71">
        <f>SUM('Network Benefit Calculations'!AB27:AD27)-SUM('Network Benefit Calculations'!AE27:AG27)</f>
        <v>59281.316494658589</v>
      </c>
      <c r="H25" s="72"/>
      <c r="I25" s="70">
        <f t="shared" si="26"/>
        <v>2042</v>
      </c>
      <c r="J25" s="73">
        <f t="shared" si="27"/>
        <v>1.0593112899496258</v>
      </c>
      <c r="K25" s="73">
        <f t="shared" si="28"/>
        <v>5.5853021476526674</v>
      </c>
      <c r="L25" s="73">
        <f t="shared" si="29"/>
        <v>2.4171988401821882</v>
      </c>
      <c r="M25" s="73">
        <f t="shared" si="30"/>
        <v>0.29730289596503229</v>
      </c>
      <c r="N25" s="73">
        <f t="shared" si="31"/>
        <v>5.9281316494658592E-2</v>
      </c>
      <c r="O25" s="169">
        <f t="shared" si="6"/>
        <v>23.729024416598289</v>
      </c>
      <c r="P25" s="73">
        <f t="shared" si="32"/>
        <v>33.147420906842463</v>
      </c>
      <c r="Q25" s="72"/>
      <c r="R25" s="74">
        <f t="shared" si="33"/>
        <v>2042</v>
      </c>
      <c r="S25" s="75">
        <f t="shared" si="34"/>
        <v>0.52111096081154484</v>
      </c>
      <c r="T25" s="75">
        <f t="shared" si="35"/>
        <v>2.7475985540798629</v>
      </c>
      <c r="U25" s="75">
        <f t="shared" si="36"/>
        <v>1.1891016569263526</v>
      </c>
      <c r="V25" s="75">
        <f t="shared" si="37"/>
        <v>0.1462533244366348</v>
      </c>
      <c r="W25" s="75">
        <f t="shared" si="38"/>
        <v>2.9162479518342391E-2</v>
      </c>
      <c r="X25" s="75">
        <f t="shared" si="39"/>
        <v>11.673107640948645</v>
      </c>
      <c r="Y25" s="75">
        <f t="shared" si="40"/>
        <v>16.306334616721383</v>
      </c>
      <c r="Z25" s="76">
        <f t="shared" si="16"/>
        <v>0.49193373633950943</v>
      </c>
      <c r="AA25" s="72"/>
      <c r="AB25" s="74">
        <f t="shared" si="41"/>
        <v>2042</v>
      </c>
      <c r="AC25" s="75">
        <f t="shared" si="42"/>
        <v>0.20883964028716812</v>
      </c>
      <c r="AD25" s="75">
        <f t="shared" si="43"/>
        <v>1.1011234398024765</v>
      </c>
      <c r="AE25" s="75">
        <f t="shared" si="44"/>
        <v>0.47654258108606923</v>
      </c>
      <c r="AF25" s="75">
        <f t="shared" si="45"/>
        <v>5.8612261040494766E-2</v>
      </c>
      <c r="AG25" s="75">
        <f t="shared" si="48"/>
        <v>1.1687111173036771E-2</v>
      </c>
      <c r="AH25" s="75">
        <f t="shared" si="46"/>
        <v>4.6780969584148124</v>
      </c>
      <c r="AI25" s="75">
        <f t="shared" si="47"/>
        <v>6.5349019918040581</v>
      </c>
      <c r="AJ25" s="76">
        <f t="shared" si="25"/>
        <v>0.19714661994879637</v>
      </c>
    </row>
    <row r="26" spans="1:36" x14ac:dyDescent="0.25">
      <c r="A26" s="70">
        <f>'Network Benefit Calculations'!A28</f>
        <v>2043</v>
      </c>
      <c r="B26" s="71">
        <f>SUM('Network Benefit Calculations'!B28:D28)-SUM('Network Benefit Calculations'!E28:G28)</f>
        <v>1072576.2735030651</v>
      </c>
      <c r="C26" s="71">
        <f>('Network Benefit Calculations'!H28-'Network Benefit Calculations'!K28)+('Network Benefit Calculations'!J28-'Network Benefit Calculations'!M28)+('Network Benefit Calculations'!P28-'Network Benefit Calculations'!S28)+('Network Benefit Calculations'!R28-'Network Benefit Calculations'!U28)</f>
        <v>5711714.7959627369</v>
      </c>
      <c r="D26" s="71">
        <f>('Network Benefit Calculations'!I28-'Network Benefit Calculations'!L28)+('Network Benefit Calculations'!Q28-'Network Benefit Calculations'!T28)</f>
        <v>2393395.1390248006</v>
      </c>
      <c r="E26" s="71">
        <f>'Network Benefit Calculations'!N28-'Network Benefit Calculations'!O28</f>
        <v>24461078.291154504</v>
      </c>
      <c r="F26" s="71">
        <f>SUM('Network Benefit Calculations'!V28:X28)-SUM('Network Benefit Calculations'!Y28:AA28)</f>
        <v>302599.55228413641</v>
      </c>
      <c r="G26" s="71">
        <f>SUM('Network Benefit Calculations'!AB28:AD28)-SUM('Network Benefit Calculations'!AE28:AG28)</f>
        <v>59010.585318505764</v>
      </c>
      <c r="H26" s="72"/>
      <c r="I26" s="70">
        <f t="shared" si="26"/>
        <v>2043</v>
      </c>
      <c r="J26" s="75">
        <f t="shared" si="27"/>
        <v>1.0725762735030651</v>
      </c>
      <c r="K26" s="75">
        <f t="shared" si="28"/>
        <v>5.7117147959627372</v>
      </c>
      <c r="L26" s="75">
        <f t="shared" si="29"/>
        <v>2.3933951390248005</v>
      </c>
      <c r="M26" s="75">
        <f t="shared" si="30"/>
        <v>0.30259955228413643</v>
      </c>
      <c r="N26" s="73">
        <f t="shared" si="31"/>
        <v>5.9010585318505761E-2</v>
      </c>
      <c r="O26" s="169">
        <f t="shared" si="6"/>
        <v>24.461078291154504</v>
      </c>
      <c r="P26" s="75">
        <f t="shared" si="32"/>
        <v>34.000374637247745</v>
      </c>
      <c r="Q26" s="72"/>
      <c r="R26" s="74">
        <f t="shared" si="33"/>
        <v>2043</v>
      </c>
      <c r="S26" s="75">
        <f t="shared" si="34"/>
        <v>0.51226840168298093</v>
      </c>
      <c r="T26" s="75">
        <f t="shared" si="35"/>
        <v>2.7279467965860271</v>
      </c>
      <c r="U26" s="75">
        <f t="shared" si="36"/>
        <v>1.143098847842029</v>
      </c>
      <c r="V26" s="75">
        <f t="shared" si="37"/>
        <v>0.14452323142698831</v>
      </c>
      <c r="W26" s="75">
        <f t="shared" si="38"/>
        <v>2.8183784193508678E-2</v>
      </c>
      <c r="X26" s="75">
        <f t="shared" si="39"/>
        <v>11.682747222000872</v>
      </c>
      <c r="Y26" s="75">
        <f t="shared" si="40"/>
        <v>16.238768283732405</v>
      </c>
      <c r="Z26" s="76">
        <f t="shared" si="16"/>
        <v>0.47760556926165965</v>
      </c>
      <c r="AA26" s="72"/>
      <c r="AB26" s="74">
        <f t="shared" si="41"/>
        <v>2043</v>
      </c>
      <c r="AC26" s="75">
        <f t="shared" si="42"/>
        <v>0.19762129622280841</v>
      </c>
      <c r="AD26" s="75">
        <f t="shared" si="43"/>
        <v>1.0523787533977407</v>
      </c>
      <c r="AE26" s="75">
        <f t="shared" si="44"/>
        <v>0.44098108585104573</v>
      </c>
      <c r="AF26" s="75">
        <f t="shared" si="45"/>
        <v>5.5753718626950069E-2</v>
      </c>
      <c r="AG26" s="75">
        <f t="shared" si="48"/>
        <v>1.0872651810040632E-2</v>
      </c>
      <c r="AH26" s="75">
        <f t="shared" si="46"/>
        <v>4.506933556452327</v>
      </c>
      <c r="AI26" s="75">
        <f t="shared" si="47"/>
        <v>6.2645410623609123</v>
      </c>
      <c r="AJ26" s="76">
        <f t="shared" si="25"/>
        <v>0.18424917752223957</v>
      </c>
    </row>
    <row r="27" spans="1:36" x14ac:dyDescent="0.25">
      <c r="A27" s="70">
        <f>'Network Benefit Calculations'!A29</f>
        <v>2044</v>
      </c>
      <c r="B27" s="71">
        <f>SUM('Network Benefit Calculations'!B29:D29)-SUM('Network Benefit Calculations'!E29:G29)</f>
        <v>1085591.5090824664</v>
      </c>
      <c r="C27" s="71">
        <f>('Network Benefit Calculations'!H29-'Network Benefit Calculations'!K29)+('Network Benefit Calculations'!J29-'Network Benefit Calculations'!M29)+('Network Benefit Calculations'!P29-'Network Benefit Calculations'!S29)+('Network Benefit Calculations'!R29-'Network Benefit Calculations'!U29)</f>
        <v>5841947.5025227927</v>
      </c>
      <c r="D27" s="71">
        <f>('Network Benefit Calculations'!I29-'Network Benefit Calculations'!L29)+('Network Benefit Calculations'!Q29-'Network Benefit Calculations'!T29)</f>
        <v>2369572.9398796046</v>
      </c>
      <c r="E27" s="71">
        <f>'Network Benefit Calculations'!N29-'Network Benefit Calculations'!O29</f>
        <v>25213513.506117821</v>
      </c>
      <c r="F27" s="71">
        <f>SUM('Network Benefit Calculations'!V29:X29)-SUM('Network Benefit Calculations'!Y29:AA29)</f>
        <v>307863.97797131538</v>
      </c>
      <c r="G27" s="71">
        <f>SUM('Network Benefit Calculations'!AB29:AD29)-SUM('Network Benefit Calculations'!AE29:AG29)</f>
        <v>58701.504306711257</v>
      </c>
      <c r="H27" s="72"/>
      <c r="I27" s="70">
        <f t="shared" ref="I27" si="49">A27</f>
        <v>2044</v>
      </c>
      <c r="J27" s="75">
        <f t="shared" ref="J27" si="50">B27/1000000</f>
        <v>1.0855915090824664</v>
      </c>
      <c r="K27" s="75">
        <f t="shared" ref="K27" si="51">C27/1000000</f>
        <v>5.8419475025227925</v>
      </c>
      <c r="L27" s="75">
        <f t="shared" ref="L27" si="52">D27/1000000</f>
        <v>2.3695729398796046</v>
      </c>
      <c r="M27" s="75">
        <f t="shared" ref="M27" si="53">F27/1000000</f>
        <v>0.30786397797131537</v>
      </c>
      <c r="N27" s="73">
        <f t="shared" ref="N27" si="54">G27/1000000</f>
        <v>5.8701504306711255E-2</v>
      </c>
      <c r="O27" s="169">
        <f t="shared" si="6"/>
        <v>25.21351350611782</v>
      </c>
      <c r="P27" s="75">
        <f t="shared" ref="P27" si="55">SUM(J27:O27)</f>
        <v>34.877190939880713</v>
      </c>
      <c r="Q27" s="72"/>
      <c r="R27" s="74">
        <f t="shared" ref="R27" si="56">I27</f>
        <v>2044</v>
      </c>
      <c r="S27" s="75">
        <f t="shared" ref="S27" si="57">J27*$Z27</f>
        <v>0.50338305891354906</v>
      </c>
      <c r="T27" s="75">
        <f t="shared" ref="T27" si="58">K27*$Z27</f>
        <v>2.7088802548923581</v>
      </c>
      <c r="U27" s="75">
        <f t="shared" ref="U27" si="59">L27*$Z27</f>
        <v>1.098758478503129</v>
      </c>
      <c r="V27" s="75">
        <f t="shared" ref="V27" si="60">M27*$Z27</f>
        <v>0.14275490335354282</v>
      </c>
      <c r="W27" s="75">
        <f t="shared" ref="W27" si="61">N27*$Z27</f>
        <v>2.7219578039730671E-2</v>
      </c>
      <c r="X27" s="75">
        <f t="shared" ref="X27" si="62">O27*$Z27</f>
        <v>11.691373272986354</v>
      </c>
      <c r="Y27" s="75">
        <f t="shared" ref="Y27" si="63">SUM(S27:X27)</f>
        <v>16.172369546688664</v>
      </c>
      <c r="Z27" s="76">
        <f t="shared" si="16"/>
        <v>0.46369472743850448</v>
      </c>
      <c r="AA27" s="72"/>
      <c r="AB27" s="74">
        <f t="shared" ref="AB27" si="64">R27</f>
        <v>2044</v>
      </c>
      <c r="AC27" s="75">
        <f t="shared" ref="AC27" si="65">J27*$AJ27</f>
        <v>0.18693396511548724</v>
      </c>
      <c r="AD27" s="75">
        <f t="shared" ref="AD27" si="66">K27*$AJ27</f>
        <v>1.0059570303438563</v>
      </c>
      <c r="AE27" s="75">
        <f t="shared" ref="AE27" si="67">L27*$AJ27</f>
        <v>0.40802978060913314</v>
      </c>
      <c r="AF27" s="75">
        <f t="shared" ref="AF27" si="68">M27*$AJ27</f>
        <v>5.3012789467233409E-2</v>
      </c>
      <c r="AG27" s="75">
        <f t="shared" ref="AG27" si="69">N27*$AJ27</f>
        <v>1.0108134474607247E-2</v>
      </c>
      <c r="AH27" s="75">
        <f t="shared" ref="AH27" si="70">O27*$AJ27</f>
        <v>4.3416533887365309</v>
      </c>
      <c r="AI27" s="75">
        <f t="shared" ref="AI27" si="71">SUM(AC27:AH27)</f>
        <v>6.0056950887468483</v>
      </c>
      <c r="AJ27" s="76">
        <f t="shared" si="25"/>
        <v>0.17219549301143888</v>
      </c>
    </row>
    <row r="28" spans="1:36" s="80" customFormat="1" x14ac:dyDescent="0.25">
      <c r="A28" s="77" t="s">
        <v>6</v>
      </c>
      <c r="B28" s="78">
        <f t="shared" ref="B28:G28" si="72">SUM(B3:B27)</f>
        <v>18947899.276118219</v>
      </c>
      <c r="C28" s="78">
        <f t="shared" si="72"/>
        <v>95485545.888669953</v>
      </c>
      <c r="D28" s="78">
        <f t="shared" si="72"/>
        <v>51726709.136073433</v>
      </c>
      <c r="E28" s="78">
        <f t="shared" si="72"/>
        <v>382201100.10843074</v>
      </c>
      <c r="F28" s="78">
        <f t="shared" si="72"/>
        <v>5124857.3314961717</v>
      </c>
      <c r="G28" s="78">
        <f t="shared" si="72"/>
        <v>1185348.0586883109</v>
      </c>
      <c r="H28" s="79"/>
      <c r="I28" s="77" t="s">
        <v>6</v>
      </c>
      <c r="J28" s="78">
        <f t="shared" ref="J28:P28" si="73">SUM(J3:J27)</f>
        <v>18.947899276118214</v>
      </c>
      <c r="K28" s="78">
        <f t="shared" si="73"/>
        <v>95.485545888669947</v>
      </c>
      <c r="L28" s="78">
        <f t="shared" si="73"/>
        <v>51.726709136073438</v>
      </c>
      <c r="M28" s="78">
        <f t="shared" si="73"/>
        <v>5.1248573314961723</v>
      </c>
      <c r="N28" s="78">
        <f t="shared" si="73"/>
        <v>1.1853480586883107</v>
      </c>
      <c r="O28" s="143">
        <f t="shared" si="73"/>
        <v>382.20110010843075</v>
      </c>
      <c r="P28" s="78">
        <f t="shared" si="73"/>
        <v>554.67145979947679</v>
      </c>
      <c r="Q28" s="79"/>
      <c r="R28" s="77" t="s">
        <v>6</v>
      </c>
      <c r="S28" s="78">
        <f t="shared" ref="S28:Y28" si="74">SUM(S3:S27)</f>
        <v>11.618595145298018</v>
      </c>
      <c r="T28" s="78">
        <f t="shared" si="74"/>
        <v>58.235885146946977</v>
      </c>
      <c r="U28" s="78">
        <f t="shared" si="74"/>
        <v>32.498651453213355</v>
      </c>
      <c r="V28" s="78">
        <f t="shared" si="74"/>
        <v>3.1255353478210459</v>
      </c>
      <c r="W28" s="78">
        <f t="shared" si="74"/>
        <v>0.73780072272162067</v>
      </c>
      <c r="X28" s="78">
        <f t="shared" si="74"/>
        <v>230.94818495422072</v>
      </c>
      <c r="Y28" s="78">
        <f t="shared" si="74"/>
        <v>337.16465277022161</v>
      </c>
      <c r="Z28" s="77"/>
      <c r="AA28" s="79"/>
      <c r="AB28" s="77" t="s">
        <v>6</v>
      </c>
      <c r="AC28" s="78">
        <f t="shared" ref="AC28:AH28" si="75">SUM(AC3:AC27)</f>
        <v>6.4522343307908887</v>
      </c>
      <c r="AD28" s="78">
        <f t="shared" si="75"/>
        <v>32.133242986024975</v>
      </c>
      <c r="AE28" s="78">
        <f t="shared" si="75"/>
        <v>18.604438077600982</v>
      </c>
      <c r="AF28" s="78">
        <f t="shared" si="75"/>
        <v>1.7237507376900936</v>
      </c>
      <c r="AG28" s="78">
        <f t="shared" si="75"/>
        <v>0.41746239533300467</v>
      </c>
      <c r="AH28" s="78">
        <f t="shared" si="75"/>
        <v>125.9031139795554</v>
      </c>
      <c r="AI28" s="78">
        <f>SUM(AI3:AI27)</f>
        <v>185.23424250699537</v>
      </c>
      <c r="AJ28" s="77"/>
    </row>
    <row r="29" spans="1:36" x14ac:dyDescent="0.25">
      <c r="B29" s="146"/>
      <c r="C29" s="146"/>
      <c r="D29" s="146"/>
      <c r="E29" s="146"/>
      <c r="F29" s="146"/>
      <c r="G29" s="146"/>
      <c r="I29" s="333"/>
      <c r="J29" s="333"/>
      <c r="K29" s="333"/>
      <c r="L29" s="333"/>
      <c r="M29" s="333"/>
      <c r="N29" s="333"/>
      <c r="O29" s="333"/>
      <c r="P29" s="333"/>
      <c r="R29" s="333"/>
      <c r="S29" s="333"/>
      <c r="T29" s="333"/>
      <c r="U29" s="333"/>
      <c r="V29" s="333"/>
      <c r="W29" s="333"/>
      <c r="X29" s="333"/>
      <c r="Y29" s="333"/>
      <c r="Z29" s="333"/>
      <c r="AB29" s="333"/>
      <c r="AC29" s="78">
        <f>'Custom Truck Benefits Summary'!AC30</f>
        <v>22.129374153338333</v>
      </c>
      <c r="AD29" s="78">
        <f>'Custom Truck Benefits Summary'!AD30</f>
        <v>7.7147419841328659</v>
      </c>
      <c r="AE29" s="78">
        <f>'Custom Truck Benefits Summary'!AE30</f>
        <v>0</v>
      </c>
      <c r="AF29" s="78">
        <f>'Custom Truck Benefits Summary'!AF30</f>
        <v>3.0142077216970051</v>
      </c>
      <c r="AG29" s="78">
        <f>'Custom Truck Benefits Summary'!AG30</f>
        <v>3.252922404113598</v>
      </c>
      <c r="AH29" s="78">
        <f>'Custom Truck Benefits Summary'!AH30</f>
        <v>21.052720775515525</v>
      </c>
      <c r="AI29" s="78">
        <f>'Custom Truck Benefits Summary'!AI30</f>
        <v>57.163967038797324</v>
      </c>
    </row>
    <row r="30" spans="1:36" x14ac:dyDescent="0.25">
      <c r="B30" s="146"/>
      <c r="C30" s="146"/>
      <c r="D30" s="146"/>
      <c r="E30" s="146"/>
      <c r="F30" s="146"/>
      <c r="G30" s="146"/>
      <c r="I30" s="340"/>
      <c r="J30" s="340"/>
      <c r="K30" s="340"/>
      <c r="L30" s="340"/>
      <c r="M30" s="340"/>
      <c r="N30" s="340"/>
      <c r="O30" s="340"/>
      <c r="P30" s="340"/>
      <c r="R30" s="340"/>
      <c r="S30" s="340"/>
      <c r="T30" s="340"/>
      <c r="U30" s="340"/>
      <c r="V30" s="340"/>
      <c r="W30" s="340"/>
      <c r="X30" s="340"/>
      <c r="Y30" s="340"/>
      <c r="Z30" s="340"/>
      <c r="AB30" s="340"/>
      <c r="AC30" s="341"/>
      <c r="AD30" s="341"/>
      <c r="AE30" s="341"/>
      <c r="AF30" s="341">
        <f>'460 Safety Benefits Summary'!L30</f>
        <v>23.838313242228089</v>
      </c>
      <c r="AG30" s="341"/>
      <c r="AH30" s="341"/>
      <c r="AI30" s="341">
        <f>SUM(AC30:AH30)</f>
        <v>23.838313242228089</v>
      </c>
    </row>
    <row r="31" spans="1:36" x14ac:dyDescent="0.25">
      <c r="I31" s="334"/>
      <c r="J31" s="334"/>
      <c r="K31" s="334"/>
      <c r="L31" s="334"/>
      <c r="M31" s="334"/>
      <c r="N31" s="334"/>
      <c r="O31" s="334"/>
      <c r="P31" s="334"/>
      <c r="R31" s="335"/>
      <c r="S31" s="335"/>
      <c r="T31" s="335"/>
      <c r="U31" s="335"/>
      <c r="V31" s="335"/>
      <c r="W31" s="335"/>
      <c r="X31" s="335"/>
      <c r="Y31" s="335"/>
      <c r="Z31" s="335"/>
      <c r="AB31" s="334"/>
      <c r="AC31" s="339">
        <f>AC28+AC29+AC30</f>
        <v>28.58160848412922</v>
      </c>
      <c r="AD31" s="339">
        <f t="shared" ref="AD31:AI31" si="76">AD28+AD29+AD30</f>
        <v>39.847984970157839</v>
      </c>
      <c r="AE31" s="339">
        <f t="shared" si="76"/>
        <v>18.604438077600982</v>
      </c>
      <c r="AF31" s="339">
        <f t="shared" si="76"/>
        <v>28.576271701615187</v>
      </c>
      <c r="AG31" s="339">
        <f t="shared" si="76"/>
        <v>3.6703847994466026</v>
      </c>
      <c r="AH31" s="339">
        <f t="shared" si="76"/>
        <v>146.95583475507092</v>
      </c>
      <c r="AI31" s="339">
        <f t="shared" si="76"/>
        <v>266.23652278802081</v>
      </c>
    </row>
    <row r="32" spans="1:36" x14ac:dyDescent="0.25">
      <c r="AI32" s="54">
        <v>41.2</v>
      </c>
    </row>
    <row r="33" spans="35:35" x14ac:dyDescent="0.25">
      <c r="AI33" s="96">
        <f>AI28/AI32</f>
        <v>4.4959767598785279</v>
      </c>
    </row>
    <row r="34" spans="35:35" x14ac:dyDescent="0.25">
      <c r="AI34" s="96">
        <f>(AI29+AI30)/AI32</f>
        <v>1.9660747641025582</v>
      </c>
    </row>
    <row r="35" spans="35:35" x14ac:dyDescent="0.25">
      <c r="AI35" s="96">
        <f>AI31/AI32</f>
        <v>6.4620515239810867</v>
      </c>
    </row>
  </sheetData>
  <mergeCells count="4">
    <mergeCell ref="A1:G1"/>
    <mergeCell ref="I1:P1"/>
    <mergeCell ref="R1:Y1"/>
    <mergeCell ref="AB1:AI1"/>
  </mergeCells>
  <conditionalFormatting sqref="A3:XFD28">
    <cfRule type="cellIs" dxfId="13" priority="6" operator="lessThan">
      <formula>0</formula>
    </cfRule>
  </conditionalFormatting>
  <conditionalFormatting sqref="AC29:AI30">
    <cfRule type="cellIs" dxfId="12" priority="1" operator="lessThan">
      <formula>0</formula>
    </cfRule>
  </conditionalFormatting>
  <pageMargins left="0.7" right="0.7" top="0.75" bottom="0.75" header="0.3" footer="0.3"/>
  <pageSetup scale="74" orientation="portrait" horizontalDpi="1200" verticalDpi="1200" r:id="rId1"/>
  <colBreaks count="3" manualBreakCount="3">
    <brk id="7" max="32" man="1"/>
    <brk id="16" max="1048575" man="1"/>
    <brk id="26" max="32"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32AFE-988B-42DE-803B-950E1C243836}">
  <sheetPr>
    <tabColor rgb="FFC00000"/>
    <pageSetUpPr fitToPage="1"/>
  </sheetPr>
  <dimension ref="A1:L24"/>
  <sheetViews>
    <sheetView zoomScale="90" zoomScaleNormal="90" workbookViewId="0">
      <selection activeCell="H19" sqref="H19:H20"/>
    </sheetView>
  </sheetViews>
  <sheetFormatPr defaultColWidth="9.140625" defaultRowHeight="15" x14ac:dyDescent="0.25"/>
  <cols>
    <col min="1" max="1" width="13.85546875" style="39" customWidth="1"/>
    <col min="2" max="2" width="25" style="39" customWidth="1"/>
    <col min="3" max="3" width="19" style="39" customWidth="1"/>
    <col min="4" max="4" width="19.28515625" style="39" customWidth="1"/>
    <col min="5" max="5" width="16.7109375" style="39" customWidth="1"/>
    <col min="6" max="6" width="18.140625" style="39" bestFit="1" customWidth="1"/>
    <col min="7" max="7" width="22.42578125" style="39" customWidth="1"/>
    <col min="8" max="9" width="9.140625" style="39"/>
    <col min="10" max="10" width="11.28515625" style="39" customWidth="1"/>
    <col min="11" max="11" width="9.140625" style="39"/>
    <col min="12" max="12" width="14" style="39" bestFit="1" customWidth="1"/>
    <col min="13" max="16384" width="9.140625" style="39"/>
  </cols>
  <sheetData>
    <row r="1" spans="1:12" x14ac:dyDescent="0.25">
      <c r="A1" s="360"/>
      <c r="B1" s="360"/>
      <c r="C1" s="360"/>
      <c r="D1" s="360"/>
      <c r="E1" s="360"/>
      <c r="F1" s="360"/>
    </row>
    <row r="2" spans="1:12" x14ac:dyDescent="0.25">
      <c r="B2" s="388" t="s">
        <v>370</v>
      </c>
    </row>
    <row r="3" spans="1:12" x14ac:dyDescent="0.25">
      <c r="B3" s="190"/>
      <c r="C3" s="377" t="s">
        <v>199</v>
      </c>
      <c r="D3" s="377"/>
      <c r="E3" s="377"/>
    </row>
    <row r="4" spans="1:12" x14ac:dyDescent="0.25">
      <c r="B4" s="190"/>
      <c r="C4" s="254" t="s">
        <v>41</v>
      </c>
      <c r="D4" s="254" t="s">
        <v>42</v>
      </c>
      <c r="E4" s="254" t="s">
        <v>43</v>
      </c>
      <c r="J4" s="49"/>
      <c r="L4" s="50"/>
    </row>
    <row r="5" spans="1:12" x14ac:dyDescent="0.25">
      <c r="B5" s="254" t="s">
        <v>7</v>
      </c>
      <c r="C5" s="323">
        <v>1.3026</v>
      </c>
      <c r="D5" s="323">
        <v>58.618899999999996</v>
      </c>
      <c r="E5" s="323">
        <v>212.3306</v>
      </c>
      <c r="J5" s="49"/>
      <c r="K5" s="51"/>
      <c r="L5" s="52"/>
    </row>
    <row r="6" spans="1:12" x14ac:dyDescent="0.25">
      <c r="B6" s="193" t="s">
        <v>44</v>
      </c>
      <c r="C6" s="324">
        <v>0.77759999999999996</v>
      </c>
      <c r="D6" s="324">
        <v>34.993299999999998</v>
      </c>
      <c r="E6" s="324">
        <v>126.7535</v>
      </c>
      <c r="F6" s="39" t="s">
        <v>211</v>
      </c>
    </row>
    <row r="7" spans="1:12" x14ac:dyDescent="0.25">
      <c r="B7" s="48"/>
      <c r="C7" s="191"/>
      <c r="J7" s="49"/>
    </row>
    <row r="8" spans="1:12" x14ac:dyDescent="0.25">
      <c r="B8" s="188"/>
      <c r="C8" s="254" t="s">
        <v>200</v>
      </c>
      <c r="D8" s="254" t="s">
        <v>201</v>
      </c>
      <c r="E8" s="188"/>
      <c r="F8" s="188"/>
      <c r="G8" s="188"/>
      <c r="H8" s="189"/>
    </row>
    <row r="9" spans="1:12" x14ac:dyDescent="0.25">
      <c r="B9" s="254" t="s">
        <v>202</v>
      </c>
      <c r="C9" s="254">
        <v>0.78</v>
      </c>
      <c r="D9" s="254" t="s">
        <v>203</v>
      </c>
      <c r="E9" s="254" t="s">
        <v>204</v>
      </c>
      <c r="F9" s="254" t="s">
        <v>205</v>
      </c>
      <c r="G9" s="378" t="s">
        <v>206</v>
      </c>
      <c r="H9" s="378"/>
    </row>
    <row r="10" spans="1:12" x14ac:dyDescent="0.25">
      <c r="B10" s="254" t="s">
        <v>207</v>
      </c>
      <c r="C10" s="254">
        <v>0.86</v>
      </c>
      <c r="D10" s="254" t="s">
        <v>208</v>
      </c>
      <c r="E10" s="254" t="s">
        <v>204</v>
      </c>
      <c r="F10" s="188"/>
      <c r="G10" s="254" t="s">
        <v>209</v>
      </c>
      <c r="H10" s="189"/>
    </row>
    <row r="11" spans="1:12" x14ac:dyDescent="0.25">
      <c r="B11" s="254" t="s">
        <v>210</v>
      </c>
      <c r="C11" s="254">
        <v>0.89</v>
      </c>
      <c r="D11" s="254" t="s">
        <v>208</v>
      </c>
      <c r="E11" s="254" t="s">
        <v>204</v>
      </c>
      <c r="F11" s="188"/>
      <c r="G11" s="254" t="s">
        <v>209</v>
      </c>
      <c r="H11" s="189"/>
    </row>
    <row r="12" spans="1:12" x14ac:dyDescent="0.25">
      <c r="B12" s="200"/>
      <c r="C12" s="389">
        <v>0.59696287000000003</v>
      </c>
      <c r="D12" s="200"/>
      <c r="E12" s="200"/>
      <c r="F12" s="200"/>
      <c r="G12" s="200"/>
      <c r="H12" s="187"/>
    </row>
    <row r="13" spans="1:12" x14ac:dyDescent="0.25">
      <c r="B13" s="48"/>
    </row>
    <row r="14" spans="1:12" x14ac:dyDescent="0.25">
      <c r="B14" s="48"/>
    </row>
    <row r="15" spans="1:12" x14ac:dyDescent="0.25">
      <c r="B15" s="265" t="s">
        <v>7</v>
      </c>
      <c r="C15" s="266" t="s">
        <v>41</v>
      </c>
      <c r="D15" s="266" t="s">
        <v>42</v>
      </c>
      <c r="E15" s="266" t="s">
        <v>242</v>
      </c>
      <c r="F15" s="266" t="s">
        <v>6</v>
      </c>
    </row>
    <row r="16" spans="1:12" x14ac:dyDescent="0.25">
      <c r="B16" s="267" t="s">
        <v>243</v>
      </c>
      <c r="C16" s="268">
        <v>1</v>
      </c>
      <c r="D16" s="268">
        <v>45</v>
      </c>
      <c r="E16" s="268">
        <v>171</v>
      </c>
      <c r="F16" s="268">
        <f>SUM(C16:E16)</f>
        <v>217</v>
      </c>
    </row>
    <row r="17" spans="2:6" x14ac:dyDescent="0.25">
      <c r="B17" s="269" t="s">
        <v>244</v>
      </c>
      <c r="C17" s="325">
        <f>C16/3</f>
        <v>0.33333333333333331</v>
      </c>
      <c r="D17" s="326">
        <f t="shared" ref="D17:F17" si="0">D16/3</f>
        <v>15</v>
      </c>
      <c r="E17" s="327">
        <f t="shared" si="0"/>
        <v>57</v>
      </c>
      <c r="F17" s="327">
        <f t="shared" si="0"/>
        <v>72.333333333333329</v>
      </c>
    </row>
    <row r="20" spans="2:6" x14ac:dyDescent="0.25">
      <c r="B20" s="113" t="s">
        <v>245</v>
      </c>
    </row>
    <row r="21" spans="2:6" x14ac:dyDescent="0.25">
      <c r="B21" s="316" t="s">
        <v>237</v>
      </c>
      <c r="C21" s="188" t="s">
        <v>238</v>
      </c>
      <c r="D21" s="188" t="s">
        <v>239</v>
      </c>
      <c r="E21" s="188" t="s">
        <v>240</v>
      </c>
      <c r="F21" s="188" t="s">
        <v>241</v>
      </c>
    </row>
    <row r="22" spans="2:6" x14ac:dyDescent="0.25">
      <c r="B22" s="188">
        <v>2018</v>
      </c>
      <c r="C22" s="317">
        <v>4100</v>
      </c>
      <c r="D22" s="317">
        <v>5500</v>
      </c>
      <c r="E22" s="317">
        <f>C22+0.5*(D22-C22)</f>
        <v>4800</v>
      </c>
      <c r="F22" s="317">
        <f>E22*365</f>
        <v>1752000</v>
      </c>
    </row>
    <row r="23" spans="2:6" x14ac:dyDescent="0.25">
      <c r="B23" s="188">
        <v>2036</v>
      </c>
      <c r="C23" s="317">
        <v>6100</v>
      </c>
      <c r="D23" s="317">
        <v>8200</v>
      </c>
      <c r="E23" s="317">
        <f>C23+0.5*(D23-C23)</f>
        <v>7150</v>
      </c>
      <c r="F23" s="317">
        <f>E23*365</f>
        <v>2609750</v>
      </c>
    </row>
    <row r="24" spans="2:6" x14ac:dyDescent="0.25">
      <c r="B24" s="200"/>
      <c r="C24" s="200"/>
      <c r="D24" s="200"/>
      <c r="E24" s="200"/>
      <c r="F24" s="318">
        <f>((F23/F22)^(1/(B23-B22))-1)</f>
        <v>2.2385570360122342E-2</v>
      </c>
    </row>
  </sheetData>
  <mergeCells count="3">
    <mergeCell ref="C3:E3"/>
    <mergeCell ref="G9:H9"/>
    <mergeCell ref="A1:F1"/>
  </mergeCells>
  <hyperlinks>
    <hyperlink ref="G9" r:id="rId1" xr:uid="{1841AC0D-E31B-46C7-9C45-8FACC56A7CC7}"/>
  </hyperlinks>
  <pageMargins left="0.7" right="0.7" top="0.75" bottom="0.75" header="0.3" footer="0.3"/>
  <pageSetup scale="71"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0DF95-10D2-4745-92E2-77EDC43894EC}">
  <sheetPr>
    <tabColor rgb="FFC00000"/>
  </sheetPr>
  <dimension ref="A1:G32"/>
  <sheetViews>
    <sheetView zoomScale="70" zoomScaleNormal="70" zoomScaleSheetLayoutView="106" workbookViewId="0">
      <pane xSplit="1" ySplit="4" topLeftCell="B5" activePane="bottomRight" state="frozen"/>
      <selection activeCell="G14" sqref="G14"/>
      <selection pane="topRight" activeCell="G14" sqref="G14"/>
      <selection pane="bottomLeft" activeCell="G14" sqref="G14"/>
      <selection pane="bottomRight" activeCell="B13" sqref="B13"/>
    </sheetView>
  </sheetViews>
  <sheetFormatPr defaultColWidth="9.140625" defaultRowHeight="15" x14ac:dyDescent="0.25"/>
  <cols>
    <col min="1" max="1" width="10" style="54" bestFit="1" customWidth="1"/>
    <col min="2" max="2" width="13.28515625" style="54" customWidth="1"/>
    <col min="3" max="4" width="10.85546875" style="54" customWidth="1"/>
    <col min="5" max="5" width="9.85546875" style="54" customWidth="1"/>
    <col min="6" max="7" width="10.85546875" style="54" customWidth="1"/>
    <col min="8" max="16384" width="9.140625" style="54"/>
  </cols>
  <sheetData>
    <row r="1" spans="1:7" x14ac:dyDescent="0.25">
      <c r="B1" s="97"/>
    </row>
    <row r="2" spans="1:7" s="100" customFormat="1" ht="15" customHeight="1" x14ac:dyDescent="0.25">
      <c r="A2" s="98"/>
      <c r="B2" s="352" t="s">
        <v>3</v>
      </c>
      <c r="C2" s="353"/>
      <c r="D2" s="354"/>
      <c r="E2" s="352" t="s">
        <v>4</v>
      </c>
      <c r="F2" s="353"/>
      <c r="G2" s="354"/>
    </row>
    <row r="3" spans="1:7" s="100" customFormat="1" ht="30" customHeight="1" x14ac:dyDescent="0.25">
      <c r="A3" s="98"/>
      <c r="B3" s="352" t="s">
        <v>45</v>
      </c>
      <c r="C3" s="353"/>
      <c r="D3" s="354"/>
      <c r="E3" s="352" t="s">
        <v>45</v>
      </c>
      <c r="F3" s="353"/>
      <c r="G3" s="354"/>
    </row>
    <row r="4" spans="1:7" s="100" customFormat="1" ht="30" x14ac:dyDescent="0.25">
      <c r="A4" s="101" t="s">
        <v>0</v>
      </c>
      <c r="B4" s="101" t="s">
        <v>41</v>
      </c>
      <c r="C4" s="101" t="s">
        <v>42</v>
      </c>
      <c r="D4" s="101" t="s">
        <v>43</v>
      </c>
      <c r="E4" s="101" t="s">
        <v>41</v>
      </c>
      <c r="F4" s="101" t="s">
        <v>42</v>
      </c>
      <c r="G4" s="101" t="s">
        <v>43</v>
      </c>
    </row>
    <row r="5" spans="1:7" x14ac:dyDescent="0.25">
      <c r="A5" s="259">
        <v>2018</v>
      </c>
      <c r="B5" s="260">
        <f>'460 Crash Inputs'!C17</f>
        <v>0.33333333333333331</v>
      </c>
      <c r="C5" s="260">
        <f>'460 Crash Inputs'!D17</f>
        <v>15</v>
      </c>
      <c r="D5" s="260">
        <f>'460 Crash Inputs'!E17</f>
        <v>57</v>
      </c>
      <c r="E5" s="261">
        <f>B5</f>
        <v>0.33333333333333331</v>
      </c>
      <c r="F5" s="261">
        <f t="shared" ref="F5:G11" si="0">C5</f>
        <v>15</v>
      </c>
      <c r="G5" s="261">
        <f t="shared" si="0"/>
        <v>57</v>
      </c>
    </row>
    <row r="6" spans="1:7" x14ac:dyDescent="0.25">
      <c r="A6" s="203">
        <v>2019</v>
      </c>
      <c r="B6" s="262">
        <f>B5*(1+B$32)</f>
        <v>0.34079519012004078</v>
      </c>
      <c r="C6" s="262">
        <f t="shared" ref="C6:D21" si="1">C5*(1+C$32)</f>
        <v>15.335783555401836</v>
      </c>
      <c r="D6" s="262">
        <f t="shared" si="1"/>
        <v>58.275977510526971</v>
      </c>
      <c r="E6" s="261">
        <f t="shared" ref="E6:E11" si="2">B6</f>
        <v>0.34079519012004078</v>
      </c>
      <c r="F6" s="261">
        <f t="shared" si="0"/>
        <v>15.335783555401836</v>
      </c>
      <c r="G6" s="261">
        <f t="shared" si="0"/>
        <v>58.275977510526971</v>
      </c>
    </row>
    <row r="7" spans="1:7" x14ac:dyDescent="0.25">
      <c r="A7" s="203">
        <v>2020</v>
      </c>
      <c r="B7" s="262">
        <f t="shared" ref="B7:D22" si="3">B6*(1+B$32)</f>
        <v>0.34842408482686421</v>
      </c>
      <c r="C7" s="262">
        <f t="shared" si="1"/>
        <v>15.679083817208891</v>
      </c>
      <c r="D7" s="262">
        <f t="shared" si="1"/>
        <v>59.580518505393783</v>
      </c>
      <c r="E7" s="261">
        <f>B7</f>
        <v>0.34842408482686421</v>
      </c>
      <c r="F7" s="261">
        <f t="shared" si="0"/>
        <v>15.679083817208891</v>
      </c>
      <c r="G7" s="261">
        <f t="shared" si="0"/>
        <v>59.580518505393783</v>
      </c>
    </row>
    <row r="8" spans="1:7" x14ac:dyDescent="0.25">
      <c r="A8" s="203">
        <v>2021</v>
      </c>
      <c r="B8" s="262">
        <f t="shared" si="3"/>
        <v>0.35622375669291723</v>
      </c>
      <c r="C8" s="262">
        <f t="shared" si="1"/>
        <v>16.030069051181275</v>
      </c>
      <c r="D8" s="262">
        <f t="shared" si="1"/>
        <v>60.914262394488844</v>
      </c>
      <c r="E8" s="261">
        <f t="shared" si="2"/>
        <v>0.35622375669291723</v>
      </c>
      <c r="F8" s="261">
        <f t="shared" si="0"/>
        <v>16.030069051181275</v>
      </c>
      <c r="G8" s="261">
        <f t="shared" si="0"/>
        <v>60.914262394488844</v>
      </c>
    </row>
    <row r="9" spans="1:7" x14ac:dyDescent="0.25">
      <c r="A9" s="203">
        <v>2022</v>
      </c>
      <c r="B9" s="262">
        <f t="shared" si="3"/>
        <v>0.3641980286623136</v>
      </c>
      <c r="C9" s="262">
        <f t="shared" si="1"/>
        <v>16.388911289804113</v>
      </c>
      <c r="D9" s="262">
        <f t="shared" si="1"/>
        <v>62.277862901255631</v>
      </c>
      <c r="E9" s="261">
        <f t="shared" si="2"/>
        <v>0.3641980286623136</v>
      </c>
      <c r="F9" s="261">
        <f t="shared" si="0"/>
        <v>16.388911289804113</v>
      </c>
      <c r="G9" s="261">
        <f t="shared" si="0"/>
        <v>62.277862901255631</v>
      </c>
    </row>
    <row r="10" spans="1:7" x14ac:dyDescent="0.25">
      <c r="A10" s="203">
        <v>2023</v>
      </c>
      <c r="B10" s="262">
        <f t="shared" si="3"/>
        <v>0.37235080925795166</v>
      </c>
      <c r="C10" s="262">
        <f t="shared" si="1"/>
        <v>16.755786416607826</v>
      </c>
      <c r="D10" s="262">
        <f t="shared" si="1"/>
        <v>63.671988383109742</v>
      </c>
      <c r="E10" s="261">
        <f t="shared" si="2"/>
        <v>0.37235080925795166</v>
      </c>
      <c r="F10" s="261">
        <f t="shared" si="0"/>
        <v>16.755786416607826</v>
      </c>
      <c r="G10" s="261">
        <f t="shared" si="0"/>
        <v>63.671988383109742</v>
      </c>
    </row>
    <row r="11" spans="1:7" x14ac:dyDescent="0.25">
      <c r="A11" s="203">
        <v>2024</v>
      </c>
      <c r="B11" s="262">
        <f t="shared" si="3"/>
        <v>0.38068609449724405</v>
      </c>
      <c r="C11" s="262">
        <f t="shared" si="1"/>
        <v>17.130874252375982</v>
      </c>
      <c r="D11" s="262">
        <f t="shared" si="1"/>
        <v>65.097322159028735</v>
      </c>
      <c r="E11" s="261">
        <f t="shared" si="2"/>
        <v>0.38068609449724405</v>
      </c>
      <c r="F11" s="261">
        <f t="shared" si="0"/>
        <v>17.130874252375982</v>
      </c>
      <c r="G11" s="261">
        <f t="shared" si="0"/>
        <v>65.097322159028735</v>
      </c>
    </row>
    <row r="12" spans="1:7" x14ac:dyDescent="0.25">
      <c r="A12" s="203">
        <v>2025</v>
      </c>
      <c r="B12" s="262">
        <f t="shared" si="3"/>
        <v>0.3892079698507323</v>
      </c>
      <c r="C12" s="262">
        <f t="shared" si="1"/>
        <v>17.514358643282954</v>
      </c>
      <c r="D12" s="262">
        <f t="shared" si="1"/>
        <v>66.554562844475228</v>
      </c>
      <c r="E12" s="263">
        <f>B12*'460 Crash Inputs'!$C$12</f>
        <v>0.23234270670896665</v>
      </c>
      <c r="F12" s="263">
        <f>C12*'460 Crash Inputs'!$C$12</f>
        <v>10.455421801903499</v>
      </c>
      <c r="G12" s="263">
        <f>D12*'460 Crash Inputs'!$C$12</f>
        <v>39.7306028472333</v>
      </c>
    </row>
    <row r="13" spans="1:7" x14ac:dyDescent="0.25">
      <c r="A13" s="203">
        <v>2026</v>
      </c>
      <c r="B13" s="262">
        <f t="shared" si="3"/>
        <v>0.39792061224454622</v>
      </c>
      <c r="C13" s="262">
        <f t="shared" si="1"/>
        <v>17.90642755100458</v>
      </c>
      <c r="D13" s="262">
        <f t="shared" si="1"/>
        <v>68.044424693817419</v>
      </c>
      <c r="E13" s="263">
        <f>B13*'460 Crash Inputs'!$C$12</f>
        <v>0.23754383071766147</v>
      </c>
      <c r="F13" s="263">
        <f>C13*'460 Crash Inputs'!$C$12</f>
        <v>10.689472382294765</v>
      </c>
      <c r="G13" s="263">
        <f>D13*'460 Crash Inputs'!$C$12</f>
        <v>40.619995052720121</v>
      </c>
    </row>
    <row r="14" spans="1:7" x14ac:dyDescent="0.25">
      <c r="A14" s="203">
        <v>2027</v>
      </c>
      <c r="B14" s="262">
        <f>B13*(1+B$32)</f>
        <v>0.40682829210768945</v>
      </c>
      <c r="C14" s="262">
        <f t="shared" si="1"/>
        <v>18.307273144846025</v>
      </c>
      <c r="D14" s="262">
        <f t="shared" si="1"/>
        <v>69.56763795041492</v>
      </c>
      <c r="E14" s="263">
        <f>B14*'460 Crash Inputs'!$C$12</f>
        <v>0.24286138485380465</v>
      </c>
      <c r="F14" s="263">
        <f>C14*'460 Crash Inputs'!$C$12</f>
        <v>10.92876231842121</v>
      </c>
      <c r="G14" s="263">
        <f>D14*'460 Crash Inputs'!$C$12</f>
        <v>41.529296810000609</v>
      </c>
    </row>
    <row r="15" spans="1:7" x14ac:dyDescent="0.25">
      <c r="A15" s="203">
        <v>2028</v>
      </c>
      <c r="B15" s="262">
        <f>B14*(1+B$32)</f>
        <v>0.41593537546515452</v>
      </c>
      <c r="C15" s="262">
        <f t="shared" si="1"/>
        <v>18.717091895931954</v>
      </c>
      <c r="D15" s="262">
        <f t="shared" si="1"/>
        <v>71.124949204541451</v>
      </c>
      <c r="E15" s="263">
        <f>B15*'460 Crash Inputs'!$C$12</f>
        <v>0.24829797547220625</v>
      </c>
      <c r="F15" s="263">
        <f>C15*'460 Crash Inputs'!$C$12</f>
        <v>11.173408896249281</v>
      </c>
      <c r="G15" s="263">
        <f>D15*'460 Crash Inputs'!$C$12</f>
        <v>42.458953805747285</v>
      </c>
    </row>
    <row r="16" spans="1:7" x14ac:dyDescent="0.25">
      <c r="A16" s="203">
        <v>2029</v>
      </c>
      <c r="B16" s="262">
        <f t="shared" si="3"/>
        <v>0.42524632607789364</v>
      </c>
      <c r="C16" s="262">
        <f t="shared" si="1"/>
        <v>19.136084673505216</v>
      </c>
      <c r="D16" s="262">
        <f t="shared" si="1"/>
        <v>72.717121759319838</v>
      </c>
      <c r="E16" s="263">
        <f>B16*'460 Crash Inputs'!$C$12</f>
        <v>0.25385626727241523</v>
      </c>
      <c r="F16" s="263">
        <f>C16*'460 Crash Inputs'!$C$12</f>
        <v>11.423532027258688</v>
      </c>
      <c r="G16" s="263">
        <f>D16*'460 Crash Inputs'!$C$12</f>
        <v>43.409421703583021</v>
      </c>
    </row>
    <row r="17" spans="1:7" x14ac:dyDescent="0.25">
      <c r="A17" s="203">
        <v>2030</v>
      </c>
      <c r="B17" s="262">
        <f t="shared" si="3"/>
        <v>0.43476570763069389</v>
      </c>
      <c r="C17" s="262">
        <f t="shared" si="1"/>
        <v>19.564456843381226</v>
      </c>
      <c r="D17" s="262">
        <f t="shared" si="1"/>
        <v>74.344936004848677</v>
      </c>
      <c r="E17" s="263">
        <f>B17*'460 Crash Inputs'!$C$12</f>
        <v>0.25953898460479996</v>
      </c>
      <c r="F17" s="263">
        <f>C17*'460 Crash Inputs'!$C$12</f>
        <v>11.679254307215999</v>
      </c>
      <c r="G17" s="263">
        <f>D17*'460 Crash Inputs'!$C$12</f>
        <v>44.381166367420803</v>
      </c>
    </row>
    <row r="18" spans="1:7" x14ac:dyDescent="0.25">
      <c r="A18" s="203">
        <v>2031</v>
      </c>
      <c r="B18" s="262">
        <f t="shared" si="3"/>
        <v>0.44449818596902918</v>
      </c>
      <c r="C18" s="262">
        <f t="shared" si="1"/>
        <v>20.002418368606314</v>
      </c>
      <c r="D18" s="262">
        <f t="shared" si="1"/>
        <v>76.009189800704007</v>
      </c>
      <c r="E18" s="263">
        <f>B18*'460 Crash Inputs'!$C$12</f>
        <v>0.26534891280586542</v>
      </c>
      <c r="F18" s="263">
        <f>C18*'460 Crash Inputs'!$C$12</f>
        <v>11.940701076263943</v>
      </c>
      <c r="G18" s="263">
        <f>D18*'460 Crash Inputs'!$C$12</f>
        <v>45.374664089802998</v>
      </c>
    </row>
    <row r="19" spans="1:7" x14ac:dyDescent="0.25">
      <c r="A19" s="203">
        <v>2032</v>
      </c>
      <c r="B19" s="262">
        <f t="shared" si="3"/>
        <v>0.45444853138598562</v>
      </c>
      <c r="C19" s="262">
        <f t="shared" si="1"/>
        <v>20.450183912369354</v>
      </c>
      <c r="D19" s="262">
        <f t="shared" si="1"/>
        <v>77.710698867003558</v>
      </c>
      <c r="E19" s="263">
        <f>B19*'460 Crash Inputs'!$C$12</f>
        <v>0.27128889956346308</v>
      </c>
      <c r="F19" s="263">
        <f>C19*'460 Crash Inputs'!$C$12</f>
        <v>12.208000480355839</v>
      </c>
      <c r="G19" s="263">
        <f>D19*'460 Crash Inputs'!$C$12</f>
        <v>46.390401825352193</v>
      </c>
    </row>
    <row r="20" spans="1:7" x14ac:dyDescent="0.25">
      <c r="A20" s="203">
        <v>2033</v>
      </c>
      <c r="B20" s="262">
        <f t="shared" si="3"/>
        <v>0.46462162096038084</v>
      </c>
      <c r="C20" s="262">
        <f t="shared" si="1"/>
        <v>20.907972943217139</v>
      </c>
      <c r="D20" s="262">
        <f t="shared" si="1"/>
        <v>79.45029718422515</v>
      </c>
      <c r="E20" s="263">
        <f>B20*'460 Crash Inputs'!$C$12</f>
        <v>0.27736185631256111</v>
      </c>
      <c r="F20" s="263">
        <f>C20*'460 Crash Inputs'!$C$12</f>
        <v>12.481283534065252</v>
      </c>
      <c r="G20" s="263">
        <f>D20*'460 Crash Inputs'!$C$12</f>
        <v>47.428877429447965</v>
      </c>
    </row>
    <row r="21" spans="1:7" x14ac:dyDescent="0.25">
      <c r="A21" s="203">
        <v>2034</v>
      </c>
      <c r="B21" s="262">
        <f t="shared" si="3"/>
        <v>0.47502244094722357</v>
      </c>
      <c r="C21" s="262">
        <f t="shared" si="1"/>
        <v>21.376009842625059</v>
      </c>
      <c r="D21" s="262">
        <f t="shared" si="1"/>
        <v>81.228837401975255</v>
      </c>
      <c r="E21" s="263">
        <f>B21*'460 Crash Inputs'!$C$12</f>
        <v>0.28357075966226014</v>
      </c>
      <c r="F21" s="263">
        <f>C21*'460 Crash Inputs'!$C$12</f>
        <v>12.760684184801704</v>
      </c>
      <c r="G21" s="263">
        <f>D21*'460 Crash Inputs'!$C$12</f>
        <v>48.490599902246494</v>
      </c>
    </row>
    <row r="22" spans="1:7" x14ac:dyDescent="0.25">
      <c r="A22" s="203">
        <v>2035</v>
      </c>
      <c r="B22" s="262">
        <f t="shared" si="3"/>
        <v>0.48565608922168468</v>
      </c>
      <c r="C22" s="262">
        <f t="shared" si="3"/>
        <v>21.854524014975809</v>
      </c>
      <c r="D22" s="262">
        <f t="shared" si="3"/>
        <v>83.047191256908107</v>
      </c>
      <c r="E22" s="263">
        <f>B22*'460 Crash Inputs'!$C$12</f>
        <v>0.28991865285475299</v>
      </c>
      <c r="F22" s="263">
        <f>C22*'460 Crash Inputs'!$C$12</f>
        <v>13.046339378463882</v>
      </c>
      <c r="G22" s="263">
        <f>D22*'460 Crash Inputs'!$C$12</f>
        <v>49.57608963816277</v>
      </c>
    </row>
    <row r="23" spans="1:7" x14ac:dyDescent="0.25">
      <c r="A23" s="222">
        <v>2036</v>
      </c>
      <c r="B23" s="262">
        <f>B22*(1+B$32)</f>
        <v>0.49652777777777857</v>
      </c>
      <c r="C23" s="262">
        <f t="shared" ref="B23:D31" si="4">C22*(1+C$32)</f>
        <v>22.343750000000032</v>
      </c>
      <c r="D23" s="262">
        <f t="shared" si="4"/>
        <v>84.906250000000156</v>
      </c>
      <c r="E23" s="263">
        <f>B23*'460 Crash Inputs'!$C$12</f>
        <v>0.29640864725694493</v>
      </c>
      <c r="F23" s="263">
        <f>C23*'460 Crash Inputs'!$C$12</f>
        <v>13.33838912656252</v>
      </c>
      <c r="G23" s="263">
        <f>D23*'460 Crash Inputs'!$C$12</f>
        <v>50.685878680937599</v>
      </c>
    </row>
    <row r="24" spans="1:7" x14ac:dyDescent="0.25">
      <c r="A24" s="203">
        <v>2037</v>
      </c>
      <c r="B24" s="262">
        <f t="shared" si="4"/>
        <v>0.50764283528297827</v>
      </c>
      <c r="C24" s="262">
        <f t="shared" si="4"/>
        <v>22.843927587734015</v>
      </c>
      <c r="D24" s="262">
        <f t="shared" si="4"/>
        <v>86.806924833389303</v>
      </c>
      <c r="E24" s="263">
        <f>B24*'460 Crash Inputs'!$C$12</f>
        <v>0.30304392388546397</v>
      </c>
      <c r="F24" s="263">
        <f>C24*'460 Crash Inputs'!$C$12</f>
        <v>13.636976574845875</v>
      </c>
      <c r="G24" s="263">
        <f>D24*'460 Crash Inputs'!$C$12</f>
        <v>51.820510984414355</v>
      </c>
    </row>
    <row r="25" spans="1:7" x14ac:dyDescent="0.25">
      <c r="A25" s="203">
        <v>2038</v>
      </c>
      <c r="B25" s="262">
        <f t="shared" si="4"/>
        <v>0.51900670969001739</v>
      </c>
      <c r="C25" s="262">
        <f t="shared" si="4"/>
        <v>23.355301936050775</v>
      </c>
      <c r="D25" s="262">
        <f t="shared" si="4"/>
        <v>88.750147356992997</v>
      </c>
      <c r="E25" s="263">
        <f>B25*'460 Crash Inputs'!$C$12</f>
        <v>0.30982773496580962</v>
      </c>
      <c r="F25" s="263">
        <f>C25*'460 Crash Inputs'!$C$12</f>
        <v>13.942248073461428</v>
      </c>
      <c r="G25" s="263">
        <f>D25*'460 Crash Inputs'!$C$12</f>
        <v>52.980542679153459</v>
      </c>
    </row>
    <row r="26" spans="1:7" x14ac:dyDescent="0.25">
      <c r="A26" s="203">
        <v>2039</v>
      </c>
      <c r="B26" s="262">
        <f t="shared" si="4"/>
        <v>0.53062497090715888</v>
      </c>
      <c r="C26" s="262">
        <f t="shared" si="4"/>
        <v>23.878123690822143</v>
      </c>
      <c r="D26" s="262">
        <f t="shared" si="4"/>
        <v>90.73687002512419</v>
      </c>
      <c r="E26" s="263">
        <f>B26*'460 Crash Inputs'!$C$12</f>
        <v>0.31676340552640408</v>
      </c>
      <c r="F26" s="263">
        <f>C26*'460 Crash Inputs'!$C$12</f>
        <v>14.254353248688179</v>
      </c>
      <c r="G26" s="263">
        <f>D26*'460 Crash Inputs'!$C$12</f>
        <v>54.16654234501511</v>
      </c>
    </row>
    <row r="27" spans="1:7" x14ac:dyDescent="0.25">
      <c r="A27" s="203">
        <v>2040</v>
      </c>
      <c r="B27" s="262">
        <f t="shared" si="4"/>
        <v>0.542503313528239</v>
      </c>
      <c r="C27" s="262">
        <f t="shared" si="4"/>
        <v>24.412649108770747</v>
      </c>
      <c r="D27" s="262">
        <f t="shared" si="4"/>
        <v>92.768066613328884</v>
      </c>
      <c r="E27" s="263">
        <f>B27*'460 Crash Inputs'!$C$12</f>
        <v>0.32385433502832739</v>
      </c>
      <c r="F27" s="263">
        <f>C27*'460 Crash Inputs'!$C$12</f>
        <v>14.573445076274728</v>
      </c>
      <c r="G27" s="263">
        <f>D27*'460 Crash Inputs'!$C$12</f>
        <v>55.379091289843991</v>
      </c>
    </row>
    <row r="28" spans="1:7" x14ac:dyDescent="0.25">
      <c r="A28" s="203">
        <v>2041</v>
      </c>
      <c r="B28" s="262">
        <f t="shared" si="4"/>
        <v>0.55464755962382495</v>
      </c>
      <c r="C28" s="262">
        <f t="shared" si="4"/>
        <v>24.959140183072112</v>
      </c>
      <c r="D28" s="262">
        <f t="shared" si="4"/>
        <v>94.844732695674068</v>
      </c>
      <c r="E28" s="263">
        <f>B28*'460 Crash Inputs'!$C$12</f>
        <v>0.3311039990315347</v>
      </c>
      <c r="F28" s="263">
        <f>C28*'460 Crash Inputs'!$C$12</f>
        <v>14.899679956419055</v>
      </c>
      <c r="G28" s="263">
        <f>D28*'460 Crash Inputs'!$C$12</f>
        <v>56.618783834392431</v>
      </c>
    </row>
    <row r="29" spans="1:7" x14ac:dyDescent="0.25">
      <c r="A29" s="203">
        <v>2042</v>
      </c>
      <c r="B29" s="262">
        <f t="shared" si="4"/>
        <v>0.56706366159485422</v>
      </c>
      <c r="C29" s="262">
        <f t="shared" si="4"/>
        <v>25.51786477176843</v>
      </c>
      <c r="D29" s="262">
        <f t="shared" si="4"/>
        <v>96.967886132720082</v>
      </c>
      <c r="E29" s="263">
        <f>B29*'460 Crash Inputs'!$C$12</f>
        <v>0.338515950898373</v>
      </c>
      <c r="F29" s="263">
        <f>C29*'460 Crash Inputs'!$C$12</f>
        <v>15.233217790426778</v>
      </c>
      <c r="G29" s="263">
        <f>D29*'460 Crash Inputs'!$C$12</f>
        <v>57.886227603621784</v>
      </c>
    </row>
    <row r="30" spans="1:7" x14ac:dyDescent="0.25">
      <c r="A30" s="203">
        <v>2043</v>
      </c>
      <c r="B30" s="262">
        <f t="shared" si="4"/>
        <v>0.57975770509015445</v>
      </c>
      <c r="C30" s="262">
        <f t="shared" si="4"/>
        <v>26.089096729056941</v>
      </c>
      <c r="D30" s="262">
        <f t="shared" si="4"/>
        <v>99.138567570416413</v>
      </c>
      <c r="E30" s="263">
        <f>B30*'460 Crash Inputs'!$C$12</f>
        <v>0.34609382353523221</v>
      </c>
      <c r="F30" s="263">
        <f>C30*'460 Crash Inputs'!$C$12</f>
        <v>15.574222059085445</v>
      </c>
      <c r="G30" s="263">
        <f>D30*'460 Crash Inputs'!$C$12</f>
        <v>59.182043824524712</v>
      </c>
    </row>
    <row r="31" spans="1:7" x14ac:dyDescent="0.25">
      <c r="A31" s="203">
        <v>2044</v>
      </c>
      <c r="B31" s="262">
        <f t="shared" si="4"/>
        <v>0.59273591198927311</v>
      </c>
      <c r="C31" s="262">
        <f t="shared" si="4"/>
        <v>26.673116039517282</v>
      </c>
      <c r="D31" s="262">
        <f t="shared" si="4"/>
        <v>101.35784095016571</v>
      </c>
      <c r="E31" s="263">
        <f>B31*'460 Crash Inputs'!$C$12</f>
        <v>0.35384133117318389</v>
      </c>
      <c r="F31" s="263">
        <f>C31*'460 Crash Inputs'!$C$12</f>
        <v>15.92285990279327</v>
      </c>
      <c r="G31" s="263">
        <f>D31*'460 Crash Inputs'!$C$12</f>
        <v>60.506867630614451</v>
      </c>
    </row>
    <row r="32" spans="1:7" x14ac:dyDescent="0.25">
      <c r="A32" s="264" t="s">
        <v>73</v>
      </c>
      <c r="B32" s="252">
        <f>'460 Crash Inputs'!$F$24</f>
        <v>2.2385570360122342E-2</v>
      </c>
      <c r="C32" s="252">
        <f>'460 Crash Inputs'!$F$24</f>
        <v>2.2385570360122342E-2</v>
      </c>
      <c r="D32" s="252">
        <f>'460 Crash Inputs'!$F$24</f>
        <v>2.2385570360122342E-2</v>
      </c>
      <c r="E32" s="246"/>
      <c r="F32" s="246"/>
      <c r="G32" s="246"/>
    </row>
  </sheetData>
  <mergeCells count="4">
    <mergeCell ref="B2:D2"/>
    <mergeCell ref="E2:G2"/>
    <mergeCell ref="B3:D3"/>
    <mergeCell ref="E3:G3"/>
  </mergeCells>
  <pageMargins left="0.7" right="0.7" top="0.75" bottom="0.75" header="0.3" footer="0.3"/>
  <pageSetup scale="68" fitToWidth="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15755-2597-45D1-8A88-A93625BB865E}">
  <sheetPr>
    <tabColor rgb="FF92D050"/>
    <pageSetUpPr fitToPage="1"/>
  </sheetPr>
  <dimension ref="A1:J31"/>
  <sheetViews>
    <sheetView zoomScale="70" zoomScaleNormal="70" workbookViewId="0">
      <pane xSplit="1" ySplit="4" topLeftCell="B5" activePane="bottomRight" state="frozen"/>
      <selection activeCell="G14" sqref="G14"/>
      <selection pane="topRight" activeCell="G14" sqref="G14"/>
      <selection pane="bottomLeft" activeCell="G14" sqref="G14"/>
      <selection pane="bottomRight" activeCell="G14" sqref="G14"/>
    </sheetView>
  </sheetViews>
  <sheetFormatPr defaultColWidth="15.28515625" defaultRowHeight="15" x14ac:dyDescent="0.25"/>
  <cols>
    <col min="1" max="1" width="12.42578125" style="54" customWidth="1"/>
    <col min="2" max="7" width="16.140625" style="54" customWidth="1"/>
    <col min="8" max="16384" width="15.28515625" style="54"/>
  </cols>
  <sheetData>
    <row r="1" spans="1:10" ht="15.75" customHeight="1" x14ac:dyDescent="0.25">
      <c r="A1" s="374" t="s">
        <v>78</v>
      </c>
    </row>
    <row r="2" spans="1:10" x14ac:dyDescent="0.25">
      <c r="A2" s="374"/>
      <c r="B2" s="372" t="s">
        <v>3</v>
      </c>
      <c r="C2" s="372"/>
      <c r="D2" s="372"/>
      <c r="E2" s="372" t="s">
        <v>4</v>
      </c>
      <c r="F2" s="372"/>
      <c r="G2" s="372"/>
    </row>
    <row r="3" spans="1:10" ht="15" customHeight="1" x14ac:dyDescent="0.25">
      <c r="A3" s="375"/>
      <c r="B3" s="373" t="s">
        <v>46</v>
      </c>
      <c r="C3" s="373"/>
      <c r="D3" s="373"/>
      <c r="E3" s="373" t="s">
        <v>46</v>
      </c>
      <c r="F3" s="373"/>
      <c r="G3" s="373"/>
    </row>
    <row r="4" spans="1:10" s="253" customFormat="1" ht="30" x14ac:dyDescent="0.25">
      <c r="A4" s="114" t="s">
        <v>0</v>
      </c>
      <c r="B4" s="101" t="s">
        <v>41</v>
      </c>
      <c r="C4" s="101" t="s">
        <v>42</v>
      </c>
      <c r="D4" s="101" t="s">
        <v>43</v>
      </c>
      <c r="E4" s="101" t="s">
        <v>41</v>
      </c>
      <c r="F4" s="101" t="s">
        <v>42</v>
      </c>
      <c r="G4" s="101" t="s">
        <v>43</v>
      </c>
    </row>
    <row r="5" spans="1:10" x14ac:dyDescent="0.25">
      <c r="A5" s="70">
        <f>'460 Crashes'!A5</f>
        <v>2018</v>
      </c>
      <c r="B5" s="117">
        <f>'460 Crashes'!B5*'Fixed Factors'!$G$3</f>
        <v>3200000</v>
      </c>
      <c r="C5" s="117">
        <f>'460 Crashes'!C5*'Fixed Factors'!$H$3</f>
        <v>2610000</v>
      </c>
      <c r="D5" s="117">
        <f>'460 Crashes'!D5*'Fixed Factors'!$I$3</f>
        <v>246639</v>
      </c>
      <c r="E5" s="117">
        <f>'460 Crashes'!E5*'Fixed Factors'!$G$3</f>
        <v>3200000</v>
      </c>
      <c r="F5" s="117">
        <f>'460 Crashes'!F5*'Fixed Factors'!$H$3</f>
        <v>2610000</v>
      </c>
      <c r="G5" s="117">
        <f>'460 Crashes'!G5*'Fixed Factors'!$I$3</f>
        <v>246639</v>
      </c>
      <c r="H5" s="110"/>
      <c r="I5" s="110"/>
      <c r="J5" s="110"/>
    </row>
    <row r="6" spans="1:10" x14ac:dyDescent="0.25">
      <c r="A6" s="70">
        <f>'460 Crashes'!A6</f>
        <v>2019</v>
      </c>
      <c r="B6" s="117">
        <f>'460 Crashes'!B6*'Fixed Factors'!$G$3</f>
        <v>3271633.8251523916</v>
      </c>
      <c r="C6" s="117">
        <f>'460 Crashes'!C6*'Fixed Factors'!$H$3</f>
        <v>2668426.3386399196</v>
      </c>
      <c r="D6" s="117">
        <f>'460 Crashes'!D6*'Fixed Factors'!$I$3</f>
        <v>252160.15468805021</v>
      </c>
      <c r="E6" s="117">
        <f>'460 Crashes'!E6*'Fixed Factors'!$G$3</f>
        <v>3271633.8251523916</v>
      </c>
      <c r="F6" s="117">
        <f>'460 Crashes'!F6*'Fixed Factors'!$H$3</f>
        <v>2668426.3386399196</v>
      </c>
      <c r="G6" s="117">
        <f>'460 Crashes'!G6*'Fixed Factors'!$I$3</f>
        <v>252160.15468805021</v>
      </c>
    </row>
    <row r="7" spans="1:10" x14ac:dyDescent="0.25">
      <c r="A7" s="70">
        <f>'460 Crashes'!A7</f>
        <v>2020</v>
      </c>
      <c r="B7" s="117">
        <f>'460 Crashes'!B7*'Fixed Factors'!$G$3</f>
        <v>3344871.2143378966</v>
      </c>
      <c r="C7" s="117">
        <f>'460 Crashes'!C7*'Fixed Factors'!$H$3</f>
        <v>2728160.5841943473</v>
      </c>
      <c r="D7" s="117">
        <f>'460 Crashes'!D7*'Fixed Factors'!$I$3</f>
        <v>257804.9035728389</v>
      </c>
      <c r="E7" s="117">
        <f>'460 Crashes'!E7*'Fixed Factors'!$G$3</f>
        <v>3344871.2143378966</v>
      </c>
      <c r="F7" s="117">
        <f>'460 Crashes'!F7*'Fixed Factors'!$H$3</f>
        <v>2728160.5841943473</v>
      </c>
      <c r="G7" s="117">
        <f>'460 Crashes'!G7*'Fixed Factors'!$I$3</f>
        <v>257804.9035728389</v>
      </c>
    </row>
    <row r="8" spans="1:10" x14ac:dyDescent="0.25">
      <c r="A8" s="70">
        <f>'460 Crashes'!A8</f>
        <v>2021</v>
      </c>
      <c r="B8" s="117">
        <f>'460 Crashes'!B8*'Fixed Factors'!$G$3</f>
        <v>3419748.0642520054</v>
      </c>
      <c r="C8" s="117">
        <f>'460 Crashes'!C8*'Fixed Factors'!$H$3</f>
        <v>2789232.0149055421</v>
      </c>
      <c r="D8" s="117">
        <f>'460 Crashes'!D8*'Fixed Factors'!$I$3</f>
        <v>263576.01338095323</v>
      </c>
      <c r="E8" s="117">
        <f>'460 Crashes'!E8*'Fixed Factors'!$G$3</f>
        <v>3419748.0642520054</v>
      </c>
      <c r="F8" s="117">
        <f>'460 Crashes'!F8*'Fixed Factors'!$H$3</f>
        <v>2789232.0149055421</v>
      </c>
      <c r="G8" s="117">
        <f>'460 Crashes'!G8*'Fixed Factors'!$I$3</f>
        <v>263576.01338095323</v>
      </c>
    </row>
    <row r="9" spans="1:10" x14ac:dyDescent="0.25">
      <c r="A9" s="70">
        <f>'460 Crashes'!A9</f>
        <v>2022</v>
      </c>
      <c r="B9" s="117">
        <f>'460 Crashes'!B9*'Fixed Factors'!$G$3</f>
        <v>3496301.0751582105</v>
      </c>
      <c r="C9" s="117">
        <f>'460 Crashes'!C9*'Fixed Factors'!$H$3</f>
        <v>2851670.5644259159</v>
      </c>
      <c r="D9" s="117">
        <f>'460 Crashes'!D9*'Fixed Factors'!$I$3</f>
        <v>269476.31277373311</v>
      </c>
      <c r="E9" s="117">
        <f>'460 Crashes'!E9*'Fixed Factors'!$G$3</f>
        <v>3496301.0751582105</v>
      </c>
      <c r="F9" s="117">
        <f>'460 Crashes'!F9*'Fixed Factors'!$H$3</f>
        <v>2851670.5644259159</v>
      </c>
      <c r="G9" s="117">
        <f>'460 Crashes'!G9*'Fixed Factors'!$I$3</f>
        <v>269476.31277373311</v>
      </c>
    </row>
    <row r="10" spans="1:10" x14ac:dyDescent="0.25">
      <c r="A10" s="70">
        <f>'460 Crashes'!A10</f>
        <v>2023</v>
      </c>
      <c r="B10" s="117">
        <f>'460 Crashes'!B10*'Fixed Factors'!$G$3</f>
        <v>3574567.768876336</v>
      </c>
      <c r="C10" s="117">
        <f>'460 Crashes'!C10*'Fixed Factors'!$H$3</f>
        <v>2915506.8364897617</v>
      </c>
      <c r="D10" s="117">
        <f>'460 Crashes'!D10*'Fixed Factors'!$I$3</f>
        <v>275508.69373371586</v>
      </c>
      <c r="E10" s="117">
        <f>'460 Crashes'!E10*'Fixed Factors'!$G$3</f>
        <v>3574567.768876336</v>
      </c>
      <c r="F10" s="117">
        <f>'460 Crashes'!F10*'Fixed Factors'!$H$3</f>
        <v>2915506.8364897617</v>
      </c>
      <c r="G10" s="117">
        <f>'460 Crashes'!G10*'Fixed Factors'!$I$3</f>
        <v>275508.69373371586</v>
      </c>
    </row>
    <row r="11" spans="1:10" x14ac:dyDescent="0.25">
      <c r="A11" s="70">
        <f>'460 Crashes'!A11</f>
        <v>2024</v>
      </c>
      <c r="B11" s="117">
        <f>'460 Crashes'!B11*'Fixed Factors'!$G$3</f>
        <v>3654586.5071735429</v>
      </c>
      <c r="C11" s="117">
        <f>'460 Crashes'!C11*'Fixed Factors'!$H$3</f>
        <v>2980772.1199134206</v>
      </c>
      <c r="D11" s="117">
        <f>'460 Crashes'!D11*'Fixed Factors'!$I$3</f>
        <v>281676.11298211734</v>
      </c>
      <c r="E11" s="117">
        <f>'460 Crashes'!E11*'Fixed Factors'!$G$3</f>
        <v>3654586.5071735429</v>
      </c>
      <c r="F11" s="117">
        <f>'460 Crashes'!F11*'Fixed Factors'!$H$3</f>
        <v>2980772.1199134206</v>
      </c>
      <c r="G11" s="117">
        <f>'460 Crashes'!G11*'Fixed Factors'!$I$3</f>
        <v>281676.11298211734</v>
      </c>
    </row>
    <row r="12" spans="1:10" x14ac:dyDescent="0.25">
      <c r="A12" s="70">
        <f>'460 Crashes'!A12</f>
        <v>2025</v>
      </c>
      <c r="B12" s="117">
        <f>'460 Crashes'!B12*'Fixed Factors'!$G$3</f>
        <v>3736396.5105670299</v>
      </c>
      <c r="C12" s="117">
        <f>'460 Crashes'!C12*'Fixed Factors'!$H$3</f>
        <v>3047498.403931234</v>
      </c>
      <c r="D12" s="117">
        <f>'460 Crashes'!D12*'Fixed Factors'!$I$3</f>
        <v>287981.59342804429</v>
      </c>
      <c r="E12" s="117">
        <f>'460 Crashes'!E12*'Fixed Factors'!$G$3</f>
        <v>2230489.9844060796</v>
      </c>
      <c r="F12" s="117">
        <f>'460 Crashes'!F12*'Fixed Factors'!$H$3</f>
        <v>1819243.3935312089</v>
      </c>
      <c r="G12" s="117">
        <f>'460 Crashes'!G12*'Fixed Factors'!$I$3</f>
        <v>171914.31851997849</v>
      </c>
    </row>
    <row r="13" spans="1:10" x14ac:dyDescent="0.25">
      <c r="A13" s="70">
        <f>'460 Crashes'!A13</f>
        <v>2026</v>
      </c>
      <c r="B13" s="117">
        <f>'460 Crashes'!B13*'Fixed Factors'!$G$3</f>
        <v>3820037.8775476436</v>
      </c>
      <c r="C13" s="117">
        <f>'460 Crashes'!C13*'Fixed Factors'!$H$3</f>
        <v>3115718.393874797</v>
      </c>
      <c r="D13" s="117">
        <f>'460 Crashes'!D13*'Fixed Factors'!$I$3</f>
        <v>294428.225650148</v>
      </c>
      <c r="E13" s="117">
        <f>'460 Crashes'!E13*'Fixed Factors'!$G$3</f>
        <v>2280420.7748895502</v>
      </c>
      <c r="F13" s="117">
        <f>'460 Crashes'!F13*'Fixed Factors'!$H$3</f>
        <v>1859968.1945192891</v>
      </c>
      <c r="G13" s="117">
        <f>'460 Crashes'!G13*'Fixed Factors'!$I$3</f>
        <v>175762.71859311996</v>
      </c>
    </row>
    <row r="14" spans="1:10" x14ac:dyDescent="0.25">
      <c r="A14" s="70">
        <f>'460 Crashes'!A14</f>
        <v>2027</v>
      </c>
      <c r="B14" s="117">
        <f>'460 Crashes'!B14*'Fixed Factors'!$G$3</f>
        <v>3905551.6042338186</v>
      </c>
      <c r="C14" s="117">
        <f>'460 Crashes'!C14*'Fixed Factors'!$H$3</f>
        <v>3185465.5272032083</v>
      </c>
      <c r="D14" s="117">
        <f>'460 Crashes'!D14*'Fixed Factors'!$I$3</f>
        <v>301019.16941144539</v>
      </c>
      <c r="E14" s="117">
        <f>'460 Crashes'!E14*'Fixed Factors'!$G$3</f>
        <v>2331469.2945965244</v>
      </c>
      <c r="F14" s="117">
        <f>'460 Crashes'!F14*'Fixed Factors'!$H$3</f>
        <v>1901604.6434052906</v>
      </c>
      <c r="G14" s="117">
        <f>'460 Crashes'!G14*'Fixed Factors'!$I$3</f>
        <v>179697.26729687263</v>
      </c>
    </row>
    <row r="15" spans="1:10" x14ac:dyDescent="0.25">
      <c r="A15" s="70">
        <f>'460 Crashes'!A15</f>
        <v>2028</v>
      </c>
      <c r="B15" s="117">
        <f>'460 Crashes'!B15*'Fixed Factors'!$G$3</f>
        <v>3992979.6044654832</v>
      </c>
      <c r="C15" s="117">
        <f>'460 Crashes'!C15*'Fixed Factors'!$H$3</f>
        <v>3256773.9898921601</v>
      </c>
      <c r="D15" s="117">
        <f>'460 Crashes'!D15*'Fixed Factors'!$I$3</f>
        <v>307757.65520805086</v>
      </c>
      <c r="E15" s="117">
        <f>'460 Crashes'!E15*'Fixed Factors'!$G$3</f>
        <v>2383660.5645331801</v>
      </c>
      <c r="F15" s="117">
        <f>'460 Crashes'!F15*'Fixed Factors'!$H$3</f>
        <v>1944173.147947375</v>
      </c>
      <c r="G15" s="117">
        <f>'460 Crashes'!G15*'Fixed Factors'!$I$3</f>
        <v>183719.89311746851</v>
      </c>
    </row>
    <row r="16" spans="1:10" x14ac:dyDescent="0.25">
      <c r="A16" s="70">
        <f>'460 Crashes'!A16</f>
        <v>2029</v>
      </c>
      <c r="B16" s="117">
        <f>'460 Crashes'!B16*'Fixed Factors'!$G$3</f>
        <v>4082364.7303477791</v>
      </c>
      <c r="C16" s="117">
        <f>'460 Crashes'!C16*'Fixed Factors'!$H$3</f>
        <v>3329678.7331899079</v>
      </c>
      <c r="D16" s="117">
        <f>'460 Crashes'!D16*'Fixed Factors'!$I$3</f>
        <v>314646.98585257697</v>
      </c>
      <c r="E16" s="117">
        <f>'460 Crashes'!E16*'Fixed Factors'!$G$3</f>
        <v>2437020.1658151862</v>
      </c>
      <c r="F16" s="117">
        <f>'460 Crashes'!F16*'Fixed Factors'!$H$3</f>
        <v>1987694.5727430116</v>
      </c>
      <c r="G16" s="117">
        <f>'460 Crashes'!G16*'Fixed Factors'!$I$3</f>
        <v>187832.56771140374</v>
      </c>
    </row>
    <row r="17" spans="1:7" x14ac:dyDescent="0.25">
      <c r="A17" s="70">
        <f>'460 Crashes'!A17</f>
        <v>2030</v>
      </c>
      <c r="B17" s="117">
        <f>'460 Crashes'!B17*'Fixed Factors'!$G$3</f>
        <v>4173750.7932546614</v>
      </c>
      <c r="C17" s="117">
        <f>'460 Crashes'!C17*'Fixed Factors'!$H$3</f>
        <v>3404215.4907483333</v>
      </c>
      <c r="D17" s="117">
        <f>'460 Crashes'!D17*'Fixed Factors'!$I$3</f>
        <v>321690.53809298022</v>
      </c>
      <c r="E17" s="117">
        <f>'460 Crashes'!E17*'Fixed Factors'!$G$3</f>
        <v>2491574.2522060797</v>
      </c>
      <c r="F17" s="117">
        <f>'460 Crashes'!F17*'Fixed Factors'!$H$3</f>
        <v>2032190.2494555837</v>
      </c>
      <c r="G17" s="117">
        <f>'460 Crashes'!G17*'Fixed Factors'!$I$3</f>
        <v>192037.30687182982</v>
      </c>
    </row>
    <row r="18" spans="1:7" x14ac:dyDescent="0.25">
      <c r="A18" s="70">
        <f>'460 Crashes'!A18</f>
        <v>2031</v>
      </c>
      <c r="B18" s="117">
        <f>'460 Crashes'!B18*'Fixed Factors'!$G$3</f>
        <v>4267182.5853026798</v>
      </c>
      <c r="C18" s="117">
        <f>'460 Crashes'!C18*'Fixed Factors'!$H$3</f>
        <v>3480420.7961374987</v>
      </c>
      <c r="D18" s="117">
        <f>'460 Crashes'!D18*'Fixed Factors'!$I$3</f>
        <v>328891.76426764624</v>
      </c>
      <c r="E18" s="117">
        <f>'460 Crashes'!E18*'Fixed Factors'!$G$3</f>
        <v>2547349.5629363079</v>
      </c>
      <c r="F18" s="117">
        <f>'460 Crashes'!F18*'Fixed Factors'!$H$3</f>
        <v>2077681.9872699261</v>
      </c>
      <c r="G18" s="117">
        <f>'460 Crashes'!G18*'Fixed Factors'!$I$3</f>
        <v>196336.17151657757</v>
      </c>
    </row>
    <row r="19" spans="1:7" x14ac:dyDescent="0.25">
      <c r="A19" s="70">
        <f>'460 Crashes'!A19</f>
        <v>2032</v>
      </c>
      <c r="B19" s="117">
        <f>'460 Crashes'!B19*'Fixed Factors'!$G$3</f>
        <v>4362705.9013054622</v>
      </c>
      <c r="C19" s="117">
        <f>'460 Crashes'!C19*'Fixed Factors'!$H$3</f>
        <v>3558332.0007522674</v>
      </c>
      <c r="D19" s="117">
        <f>'460 Crashes'!D19*'Fixed Factors'!$I$3</f>
        <v>336254.19399752439</v>
      </c>
      <c r="E19" s="117">
        <f>'460 Crashes'!E19*'Fixed Factors'!$G$3</f>
        <v>2604373.4358092458</v>
      </c>
      <c r="F19" s="117">
        <f>'460 Crashes'!F19*'Fixed Factors'!$H$3</f>
        <v>2124192.0835819161</v>
      </c>
      <c r="G19" s="117">
        <f>'460 Crashes'!G19*'Fixed Factors'!$I$3</f>
        <v>200731.26869829893</v>
      </c>
    </row>
    <row r="20" spans="1:7" x14ac:dyDescent="0.25">
      <c r="A20" s="70">
        <f>'460 Crashes'!A20</f>
        <v>2033</v>
      </c>
      <c r="B20" s="117">
        <f>'460 Crashes'!B20*'Fixed Factors'!$G$3</f>
        <v>4460367.5612196559</v>
      </c>
      <c r="C20" s="117">
        <f>'460 Crashes'!C20*'Fixed Factors'!$H$3</f>
        <v>3637987.2921197824</v>
      </c>
      <c r="D20" s="117">
        <f>'460 Crashes'!D20*'Fixed Factors'!$I$3</f>
        <v>343781.43591614225</v>
      </c>
      <c r="E20" s="117">
        <f>'460 Crashes'!E20*'Fixed Factors'!$G$3</f>
        <v>2662673.8206005865</v>
      </c>
      <c r="F20" s="117">
        <f>'460 Crashes'!F20*'Fixed Factors'!$H$3</f>
        <v>2171743.334927354</v>
      </c>
      <c r="G20" s="117">
        <f>'460 Crashes'!G20*'Fixed Factors'!$I$3</f>
        <v>205224.75263722133</v>
      </c>
    </row>
    <row r="21" spans="1:7" x14ac:dyDescent="0.25">
      <c r="A21" s="70">
        <f>'460 Crashes'!A21</f>
        <v>2034</v>
      </c>
      <c r="B21" s="117">
        <f>'460 Crashes'!B21*'Fixed Factors'!$G$3</f>
        <v>4560215.4330933467</v>
      </c>
      <c r="C21" s="117">
        <f>'460 Crashes'!C21*'Fixed Factors'!$H$3</f>
        <v>3719425.7126167603</v>
      </c>
      <c r="D21" s="117">
        <f>'460 Crashes'!D21*'Fixed Factors'!$I$3</f>
        <v>351477.17943834694</v>
      </c>
      <c r="E21" s="117">
        <f>'460 Crashes'!E21*'Fixed Factors'!$G$3</f>
        <v>2722279.2927576974</v>
      </c>
      <c r="F21" s="117">
        <f>'460 Crashes'!F21*'Fixed Factors'!$H$3</f>
        <v>2220359.0481554964</v>
      </c>
      <c r="G21" s="117">
        <f>'460 Crashes'!G21*'Fixed Factors'!$I$3</f>
        <v>209818.82577702057</v>
      </c>
    </row>
    <row r="22" spans="1:7" x14ac:dyDescent="0.25">
      <c r="A22" s="70">
        <f>'460 Crashes'!A22</f>
        <v>2035</v>
      </c>
      <c r="B22" s="117">
        <f>'460 Crashes'!B22*'Fixed Factors'!$G$3</f>
        <v>4662298.4565281728</v>
      </c>
      <c r="C22" s="117">
        <f>'460 Crashes'!C22*'Fixed Factors'!$H$3</f>
        <v>3802687.1786057907</v>
      </c>
      <c r="D22" s="117">
        <f>'460 Crashes'!D22*'Fixed Factors'!$I$3</f>
        <v>359345.1965686414</v>
      </c>
      <c r="E22" s="117">
        <f>'460 Crashes'!E22*'Fixed Factors'!$G$3</f>
        <v>2783219.0674056285</v>
      </c>
      <c r="F22" s="117">
        <f>'460 Crashes'!F22*'Fixed Factors'!$H$3</f>
        <v>2270063.0518527157</v>
      </c>
      <c r="G22" s="117">
        <f>'460 Crashes'!G22*'Fixed Factors'!$I$3</f>
        <v>214515.7398643303</v>
      </c>
    </row>
    <row r="23" spans="1:7" x14ac:dyDescent="0.25">
      <c r="A23" s="70">
        <f>'460 Crashes'!A23</f>
        <v>2036</v>
      </c>
      <c r="B23" s="117">
        <f>'460 Crashes'!B23*'Fixed Factors'!$G$3</f>
        <v>4766666.6666666744</v>
      </c>
      <c r="C23" s="117">
        <f>'460 Crashes'!C23*'Fixed Factors'!$H$3</f>
        <v>3887812.5000000056</v>
      </c>
      <c r="D23" s="117">
        <f>'460 Crashes'!D23*'Fixed Factors'!$I$3</f>
        <v>367389.3437500007</v>
      </c>
      <c r="E23" s="117">
        <f>'460 Crashes'!E23*'Fixed Factors'!$G$3</f>
        <v>2845523.0136666712</v>
      </c>
      <c r="F23" s="117">
        <f>'460 Crashes'!F23*'Fixed Factors'!$H$3</f>
        <v>2320879.7080218783</v>
      </c>
      <c r="G23" s="117">
        <f>'460 Crashes'!G23*'Fixed Factors'!$I$3</f>
        <v>219317.79705241698</v>
      </c>
    </row>
    <row r="24" spans="1:7" x14ac:dyDescent="0.25">
      <c r="A24" s="70">
        <f>'460 Crashes'!A24</f>
        <v>2037</v>
      </c>
      <c r="B24" s="117">
        <f>'460 Crashes'!B24*'Fixed Factors'!$G$3</f>
        <v>4873371.2187165916</v>
      </c>
      <c r="C24" s="117">
        <f>'460 Crashes'!C24*'Fixed Factors'!$H$3</f>
        <v>3974843.4002657188</v>
      </c>
      <c r="D24" s="117">
        <f>'460 Crashes'!D24*'Fixed Factors'!$I$3</f>
        <v>375613.5637540755</v>
      </c>
      <c r="E24" s="117">
        <f>'460 Crashes'!E24*'Fixed Factors'!$G$3</f>
        <v>2909221.6693004542</v>
      </c>
      <c r="F24" s="117">
        <f>'460 Crashes'!F24*'Fixed Factors'!$H$3</f>
        <v>2372833.9240231821</v>
      </c>
      <c r="G24" s="117">
        <f>'460 Crashes'!G24*'Fixed Factors'!$I$3</f>
        <v>224227.3510295609</v>
      </c>
    </row>
    <row r="25" spans="1:7" x14ac:dyDescent="0.25">
      <c r="A25" s="70">
        <f>'460 Crashes'!A25</f>
        <v>2038</v>
      </c>
      <c r="B25" s="117">
        <f>'460 Crashes'!B25*'Fixed Factors'!$G$3</f>
        <v>4982464.4130241666</v>
      </c>
      <c r="C25" s="117">
        <f>'460 Crashes'!C25*'Fixed Factors'!$H$3</f>
        <v>4063822.5368728349</v>
      </c>
      <c r="D25" s="117">
        <f>'460 Crashes'!D25*'Fixed Factors'!$I$3</f>
        <v>384021.88761370868</v>
      </c>
      <c r="E25" s="117">
        <f>'460 Crashes'!E25*'Fixed Factors'!$G$3</f>
        <v>2974346.2556717722</v>
      </c>
      <c r="F25" s="117">
        <f>'460 Crashes'!F25*'Fixed Factors'!$H$3</f>
        <v>2425951.1647822885</v>
      </c>
      <c r="G25" s="117">
        <f>'460 Crashes'!G25*'Fixed Factors'!$I$3</f>
        <v>229246.80817269703</v>
      </c>
    </row>
    <row r="26" spans="1:7" x14ac:dyDescent="0.25">
      <c r="A26" s="70">
        <f>'460 Crashes'!A26</f>
        <v>2039</v>
      </c>
      <c r="B26" s="117">
        <f>'460 Crashes'!B26*'Fixed Factors'!$G$3</f>
        <v>5093999.720708725</v>
      </c>
      <c r="C26" s="117">
        <f>'460 Crashes'!C26*'Fixed Factors'!$H$3</f>
        <v>4154793.5222030529</v>
      </c>
      <c r="D26" s="117">
        <f>'460 Crashes'!D26*'Fixed Factors'!$I$3</f>
        <v>392618.43659871235</v>
      </c>
      <c r="E26" s="117">
        <f>'460 Crashes'!E26*'Fixed Factors'!$G$3</f>
        <v>3040928.6930534793</v>
      </c>
      <c r="F26" s="117">
        <f>'460 Crashes'!F26*'Fixed Factors'!$H$3</f>
        <v>2480257.465271743</v>
      </c>
      <c r="G26" s="117">
        <f>'460 Crashes'!G26*'Fixed Factors'!$I$3</f>
        <v>234378.62872688039</v>
      </c>
    </row>
    <row r="27" spans="1:7" x14ac:dyDescent="0.25">
      <c r="A27" s="70">
        <f>'460 Crashes'!A27</f>
        <v>2040</v>
      </c>
      <c r="B27" s="117">
        <f>'460 Crashes'!B27*'Fixed Factors'!$G$3</f>
        <v>5208031.8098710943</v>
      </c>
      <c r="C27" s="117">
        <f>'460 Crashes'!C27*'Fixed Factors'!$H$3</f>
        <v>4247800.9449261101</v>
      </c>
      <c r="D27" s="117">
        <f>'460 Crashes'!D27*'Fixed Factors'!$I$3</f>
        <v>401407.42423587409</v>
      </c>
      <c r="E27" s="117">
        <f>'460 Crashes'!E27*'Fixed Factors'!$G$3</f>
        <v>3109001.6162719429</v>
      </c>
      <c r="F27" s="117">
        <f>'460 Crashes'!F27*'Fixed Factors'!$H$3</f>
        <v>2535779.4432718027</v>
      </c>
      <c r="G27" s="117">
        <f>'460 Crashes'!G27*'Fixed Factors'!$I$3</f>
        <v>239625.32801115495</v>
      </c>
    </row>
    <row r="28" spans="1:7" x14ac:dyDescent="0.25">
      <c r="A28" s="70">
        <f>'460 Crashes'!A28</f>
        <v>2041</v>
      </c>
      <c r="B28" s="117">
        <f>'460 Crashes'!B28*'Fixed Factors'!$G$3</f>
        <v>5324616.5723887198</v>
      </c>
      <c r="C28" s="117">
        <f>'460 Crashes'!C28*'Fixed Factors'!$H$3</f>
        <v>4342890.3918545479</v>
      </c>
      <c r="D28" s="117">
        <f>'460 Crashes'!D28*'Fixed Factors'!$I$3</f>
        <v>410393.15837418172</v>
      </c>
      <c r="E28" s="117">
        <f>'460 Crashes'!E28*'Fixed Factors'!$G$3</f>
        <v>3178598.3907027333</v>
      </c>
      <c r="F28" s="117">
        <f>'460 Crashes'!F28*'Fixed Factors'!$H$3</f>
        <v>2592544.3124169158</v>
      </c>
      <c r="G28" s="117">
        <f>'460 Crashes'!G28*'Fixed Factors'!$I$3</f>
        <v>244989.47765141606</v>
      </c>
    </row>
    <row r="29" spans="1:7" x14ac:dyDescent="0.25">
      <c r="A29" s="70">
        <f>'460 Crashes'!A29</f>
        <v>2042</v>
      </c>
      <c r="B29" s="117">
        <f>'460 Crashes'!B29*'Fixed Factors'!$G$3</f>
        <v>5443811.1513106003</v>
      </c>
      <c r="C29" s="117">
        <f>'460 Crashes'!C29*'Fixed Factors'!$H$3</f>
        <v>4440108.4702877067</v>
      </c>
      <c r="D29" s="117">
        <f>'460 Crashes'!D29*'Fixed Factors'!$I$3</f>
        <v>419580.04329627979</v>
      </c>
      <c r="E29" s="117">
        <f>'460 Crashes'!E29*'Fixed Factors'!$G$3</f>
        <v>3249753.1286243806</v>
      </c>
      <c r="F29" s="117">
        <f>'460 Crashes'!F29*'Fixed Factors'!$H$3</f>
        <v>2650579.8955342593</v>
      </c>
      <c r="G29" s="117">
        <f>'460 Crashes'!G29*'Fixed Factors'!$I$3</f>
        <v>250473.70684087145</v>
      </c>
    </row>
    <row r="30" spans="1:7" x14ac:dyDescent="0.25">
      <c r="A30" s="70">
        <f>'460 Crashes'!A30</f>
        <v>2043</v>
      </c>
      <c r="B30" s="117">
        <f>'460 Crashes'!B30*'Fixed Factors'!$G$3</f>
        <v>5565673.9688654831</v>
      </c>
      <c r="C30" s="117">
        <f>'460 Crashes'!C30*'Fixed Factors'!$H$3</f>
        <v>4539502.8308559079</v>
      </c>
      <c r="D30" s="117">
        <f>'460 Crashes'!D30*'Fixed Factors'!$I$3</f>
        <v>428972.58187719184</v>
      </c>
      <c r="E30" s="117">
        <f>'460 Crashes'!E30*'Fixed Factors'!$G$3</f>
        <v>3322500.7059382293</v>
      </c>
      <c r="F30" s="117">
        <f>'460 Crashes'!F30*'Fixed Factors'!$H$3</f>
        <v>2709914.6382808676</v>
      </c>
      <c r="G30" s="117">
        <f>'460 Crashes'!G30*'Fixed Factors'!$I$3</f>
        <v>256080.70362871842</v>
      </c>
    </row>
    <row r="31" spans="1:7" x14ac:dyDescent="0.25">
      <c r="A31" s="70">
        <f>'460 Crashes'!A31</f>
        <v>2044</v>
      </c>
      <c r="B31" s="117">
        <f>'460 Crashes'!B31*'Fixed Factors'!$G$3</f>
        <v>5690264.7550970223</v>
      </c>
      <c r="C31" s="117">
        <f>'460 Crashes'!C31*'Fixed Factors'!$H$3</f>
        <v>4641122.1908760071</v>
      </c>
      <c r="D31" s="117">
        <f>'460 Crashes'!D31*'Fixed Factors'!$I$3</f>
        <v>438575.37779136701</v>
      </c>
      <c r="E31" s="117">
        <f>'460 Crashes'!E31*'Fixed Factors'!$G$3</f>
        <v>3396876.7792625655</v>
      </c>
      <c r="F31" s="117">
        <f>'460 Crashes'!F31*'Fixed Factors'!$H$3</f>
        <v>2770577.6230860292</v>
      </c>
      <c r="G31" s="117">
        <f>'460 Crashes'!G31*'Fixed Factors'!$I$3</f>
        <v>261813.21623766873</v>
      </c>
    </row>
  </sheetData>
  <mergeCells count="5">
    <mergeCell ref="A1:A3"/>
    <mergeCell ref="B2:D2"/>
    <mergeCell ref="E2:G2"/>
    <mergeCell ref="B3:D3"/>
    <mergeCell ref="E3:G3"/>
  </mergeCells>
  <pageMargins left="0.7" right="0.7" top="0.75" bottom="0.75" header="0.3" footer="0.3"/>
  <pageSetup scale="94" fitToWidth="0" orientation="landscape" r:id="rId1"/>
  <colBreaks count="1" manualBreakCount="1">
    <brk id="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714B3-B59F-4395-9844-2F4D69DFA708}">
  <sheetPr>
    <tabColor rgb="FF92D050"/>
  </sheetPr>
  <dimension ref="A1:M32"/>
  <sheetViews>
    <sheetView zoomScale="85" zoomScaleNormal="85" workbookViewId="0">
      <pane xSplit="1" ySplit="2" topLeftCell="B15" activePane="bottomRight" state="frozen"/>
      <selection activeCell="G14" sqref="G14"/>
      <selection pane="topRight" activeCell="G14" sqref="G14"/>
      <selection pane="bottomLeft" activeCell="G14" sqref="G14"/>
      <selection pane="bottomRight" activeCell="D10" sqref="D10"/>
    </sheetView>
  </sheetViews>
  <sheetFormatPr defaultColWidth="9.140625" defaultRowHeight="15" x14ac:dyDescent="0.25"/>
  <cols>
    <col min="1" max="1" width="11.28515625" style="54" customWidth="1"/>
    <col min="2" max="2" width="22.140625" style="54" customWidth="1"/>
    <col min="3" max="3" width="6" style="54" customWidth="1"/>
    <col min="4" max="4" width="17.28515625" style="54" customWidth="1"/>
    <col min="5" max="5" width="22.85546875" style="54" customWidth="1"/>
    <col min="6" max="6" width="1.85546875" style="54" customWidth="1"/>
    <col min="7" max="7" width="14.85546875" style="54" customWidth="1"/>
    <col min="8" max="8" width="22.85546875" style="54" customWidth="1"/>
    <col min="9" max="9" width="10.85546875" style="54" customWidth="1"/>
    <col min="10" max="10" width="1.28515625" style="54" customWidth="1"/>
    <col min="11" max="11" width="18.85546875" style="54" customWidth="1"/>
    <col min="12" max="12" width="16.5703125" style="54" customWidth="1"/>
    <col min="13" max="13" width="10.42578125" style="54" customWidth="1"/>
    <col min="14" max="16384" width="9.140625" style="54"/>
  </cols>
  <sheetData>
    <row r="1" spans="1:13" s="48" customFormat="1" ht="30.75" customHeight="1" x14ac:dyDescent="0.25">
      <c r="A1" s="345" t="s">
        <v>76</v>
      </c>
      <c r="B1" s="345"/>
      <c r="C1" s="63"/>
      <c r="D1" s="345" t="s">
        <v>91</v>
      </c>
      <c r="E1" s="345"/>
      <c r="F1" s="63"/>
      <c r="G1" s="345" t="s">
        <v>92</v>
      </c>
      <c r="H1" s="345"/>
      <c r="I1" s="147">
        <v>2018</v>
      </c>
      <c r="J1" s="63"/>
      <c r="K1" s="345" t="s">
        <v>194</v>
      </c>
      <c r="L1" s="345"/>
      <c r="M1" s="48">
        <f>I1</f>
        <v>2018</v>
      </c>
    </row>
    <row r="2" spans="1:13" s="69" customFormat="1" ht="30" x14ac:dyDescent="0.25">
      <c r="A2" s="64" t="s">
        <v>0</v>
      </c>
      <c r="B2" s="167" t="s">
        <v>47</v>
      </c>
      <c r="C2" s="65"/>
      <c r="D2" s="64" t="s">
        <v>0</v>
      </c>
      <c r="E2" s="64" t="s">
        <v>47</v>
      </c>
      <c r="F2" s="66"/>
      <c r="G2" s="67" t="s">
        <v>0</v>
      </c>
      <c r="H2" s="67" t="s">
        <v>47</v>
      </c>
      <c r="I2" s="67" t="s">
        <v>107</v>
      </c>
      <c r="J2" s="68"/>
      <c r="K2" s="67" t="s">
        <v>0</v>
      </c>
      <c r="L2" s="67" t="s">
        <v>47</v>
      </c>
      <c r="M2" s="67" t="s">
        <v>127</v>
      </c>
    </row>
    <row r="3" spans="1:13" x14ac:dyDescent="0.25">
      <c r="A3" s="70">
        <f>'460 Safety Benefit Calc.'!A5</f>
        <v>2018</v>
      </c>
      <c r="B3" s="71">
        <f>SUM('460 Safety Benefit Calc.'!B5:D5)-SUM('460 Safety Benefit Calc.'!E5:G5)</f>
        <v>0</v>
      </c>
      <c r="C3" s="72"/>
      <c r="D3" s="70">
        <f t="shared" ref="D3:D29" si="0">A3</f>
        <v>2018</v>
      </c>
      <c r="E3" s="73">
        <f t="shared" ref="E3:E29" si="1">B3/1000000</f>
        <v>0</v>
      </c>
      <c r="F3" s="72"/>
      <c r="G3" s="203">
        <f t="shared" ref="G3:G29" si="2">D3</f>
        <v>2018</v>
      </c>
      <c r="H3" s="75">
        <f t="shared" ref="H3:H29" si="3">E3*$I3</f>
        <v>0</v>
      </c>
      <c r="I3" s="76">
        <f t="shared" ref="I3:I29" si="4">1/((1+0.03)^(G3-$I$1))</f>
        <v>1</v>
      </c>
      <c r="J3" s="72"/>
      <c r="K3" s="203">
        <f t="shared" ref="K3:K29" si="5">G3</f>
        <v>2018</v>
      </c>
      <c r="L3" s="75">
        <f t="shared" ref="L3:L29" si="6">E3*$M3</f>
        <v>0</v>
      </c>
      <c r="M3" s="76">
        <f t="shared" ref="M3:M29" si="7">1/((1+0.07)^(K3-$M$1))</f>
        <v>1</v>
      </c>
    </row>
    <row r="4" spans="1:13" x14ac:dyDescent="0.25">
      <c r="A4" s="70">
        <f>'460 Safety Benefit Calc.'!A6</f>
        <v>2019</v>
      </c>
      <c r="B4" s="71">
        <f>SUM('460 Safety Benefit Calc.'!B6:D6)-SUM('460 Safety Benefit Calc.'!E6:G6)</f>
        <v>0</v>
      </c>
      <c r="C4" s="72"/>
      <c r="D4" s="70">
        <f t="shared" si="0"/>
        <v>2019</v>
      </c>
      <c r="E4" s="75">
        <f t="shared" si="1"/>
        <v>0</v>
      </c>
      <c r="F4" s="72"/>
      <c r="G4" s="203">
        <f t="shared" si="2"/>
        <v>2019</v>
      </c>
      <c r="H4" s="75">
        <f t="shared" si="3"/>
        <v>0</v>
      </c>
      <c r="I4" s="76">
        <f t="shared" si="4"/>
        <v>0.970873786407767</v>
      </c>
      <c r="J4" s="72"/>
      <c r="K4" s="203">
        <f t="shared" si="5"/>
        <v>2019</v>
      </c>
      <c r="L4" s="75">
        <f t="shared" si="6"/>
        <v>0</v>
      </c>
      <c r="M4" s="76">
        <f t="shared" si="7"/>
        <v>0.93457943925233644</v>
      </c>
    </row>
    <row r="5" spans="1:13" x14ac:dyDescent="0.25">
      <c r="A5" s="70">
        <f>'460 Safety Benefit Calc.'!A7</f>
        <v>2020</v>
      </c>
      <c r="B5" s="71">
        <f>SUM('460 Safety Benefit Calc.'!B7:D7)-SUM('460 Safety Benefit Calc.'!E7:G7)</f>
        <v>0</v>
      </c>
      <c r="C5" s="72"/>
      <c r="D5" s="70">
        <f t="shared" si="0"/>
        <v>2020</v>
      </c>
      <c r="E5" s="75">
        <f t="shared" si="1"/>
        <v>0</v>
      </c>
      <c r="F5" s="72"/>
      <c r="G5" s="203">
        <f t="shared" si="2"/>
        <v>2020</v>
      </c>
      <c r="H5" s="75">
        <f t="shared" si="3"/>
        <v>0</v>
      </c>
      <c r="I5" s="76">
        <f t="shared" si="4"/>
        <v>0.94259590913375435</v>
      </c>
      <c r="J5" s="72"/>
      <c r="K5" s="203">
        <f t="shared" si="5"/>
        <v>2020</v>
      </c>
      <c r="L5" s="75">
        <f t="shared" si="6"/>
        <v>0</v>
      </c>
      <c r="M5" s="76">
        <f t="shared" si="7"/>
        <v>0.87343872827321156</v>
      </c>
    </row>
    <row r="6" spans="1:13" x14ac:dyDescent="0.25">
      <c r="A6" s="70">
        <f>'460 Safety Benefit Calc.'!A8</f>
        <v>2021</v>
      </c>
      <c r="B6" s="71">
        <f>SUM('460 Safety Benefit Calc.'!B8:D8)-SUM('460 Safety Benefit Calc.'!E8:G8)</f>
        <v>0</v>
      </c>
      <c r="C6" s="72"/>
      <c r="D6" s="70">
        <f t="shared" si="0"/>
        <v>2021</v>
      </c>
      <c r="E6" s="75">
        <f t="shared" si="1"/>
        <v>0</v>
      </c>
      <c r="F6" s="72"/>
      <c r="G6" s="203">
        <f t="shared" si="2"/>
        <v>2021</v>
      </c>
      <c r="H6" s="75">
        <f t="shared" si="3"/>
        <v>0</v>
      </c>
      <c r="I6" s="76">
        <f t="shared" si="4"/>
        <v>0.91514165935315961</v>
      </c>
      <c r="J6" s="72"/>
      <c r="K6" s="203">
        <f t="shared" si="5"/>
        <v>2021</v>
      </c>
      <c r="L6" s="75">
        <f t="shared" si="6"/>
        <v>0</v>
      </c>
      <c r="M6" s="76">
        <f t="shared" si="7"/>
        <v>0.81629787689085187</v>
      </c>
    </row>
    <row r="7" spans="1:13" x14ac:dyDescent="0.25">
      <c r="A7" s="70">
        <f>'460 Safety Benefit Calc.'!A9</f>
        <v>2022</v>
      </c>
      <c r="B7" s="71">
        <f>SUM('460 Safety Benefit Calc.'!B9:D9)-SUM('460 Safety Benefit Calc.'!E9:G9)</f>
        <v>0</v>
      </c>
      <c r="C7" s="72"/>
      <c r="D7" s="70">
        <f t="shared" si="0"/>
        <v>2022</v>
      </c>
      <c r="E7" s="73">
        <f t="shared" si="1"/>
        <v>0</v>
      </c>
      <c r="F7" s="72"/>
      <c r="G7" s="203">
        <f t="shared" si="2"/>
        <v>2022</v>
      </c>
      <c r="H7" s="75">
        <f t="shared" si="3"/>
        <v>0</v>
      </c>
      <c r="I7" s="76">
        <f t="shared" si="4"/>
        <v>0.888487047915689</v>
      </c>
      <c r="J7" s="72"/>
      <c r="K7" s="203">
        <f t="shared" si="5"/>
        <v>2022</v>
      </c>
      <c r="L7" s="75">
        <f t="shared" si="6"/>
        <v>0</v>
      </c>
      <c r="M7" s="76">
        <f t="shared" si="7"/>
        <v>0.7628952120475252</v>
      </c>
    </row>
    <row r="8" spans="1:13" x14ac:dyDescent="0.25">
      <c r="A8" s="70">
        <f>'460 Safety Benefit Calc.'!A10</f>
        <v>2023</v>
      </c>
      <c r="B8" s="71">
        <f>SUM('460 Safety Benefit Calc.'!B10:D10)-SUM('460 Safety Benefit Calc.'!E10:G10)</f>
        <v>0</v>
      </c>
      <c r="C8" s="72"/>
      <c r="D8" s="70">
        <f t="shared" si="0"/>
        <v>2023</v>
      </c>
      <c r="E8" s="75">
        <f t="shared" si="1"/>
        <v>0</v>
      </c>
      <c r="F8" s="72"/>
      <c r="G8" s="203">
        <f t="shared" si="2"/>
        <v>2023</v>
      </c>
      <c r="H8" s="75">
        <f t="shared" si="3"/>
        <v>0</v>
      </c>
      <c r="I8" s="76">
        <f t="shared" si="4"/>
        <v>0.86260878438416411</v>
      </c>
      <c r="J8" s="72"/>
      <c r="K8" s="203">
        <f t="shared" si="5"/>
        <v>2023</v>
      </c>
      <c r="L8" s="75">
        <f t="shared" si="6"/>
        <v>0</v>
      </c>
      <c r="M8" s="76">
        <f t="shared" si="7"/>
        <v>0.71298617948366838</v>
      </c>
    </row>
    <row r="9" spans="1:13" x14ac:dyDescent="0.25">
      <c r="A9" s="70">
        <f>'460 Safety Benefit Calc.'!A11</f>
        <v>2024</v>
      </c>
      <c r="B9" s="71">
        <f>SUM('460 Safety Benefit Calc.'!B11:D11)-SUM('460 Safety Benefit Calc.'!E11:G11)</f>
        <v>0</v>
      </c>
      <c r="C9" s="72"/>
      <c r="D9" s="70">
        <f t="shared" si="0"/>
        <v>2024</v>
      </c>
      <c r="E9" s="75">
        <f t="shared" si="1"/>
        <v>0</v>
      </c>
      <c r="F9" s="72"/>
      <c r="G9" s="203">
        <f t="shared" si="2"/>
        <v>2024</v>
      </c>
      <c r="H9" s="75">
        <f t="shared" si="3"/>
        <v>0</v>
      </c>
      <c r="I9" s="76">
        <f t="shared" si="4"/>
        <v>0.83748425668365445</v>
      </c>
      <c r="J9" s="72"/>
      <c r="K9" s="203">
        <f t="shared" si="5"/>
        <v>2024</v>
      </c>
      <c r="L9" s="75">
        <f t="shared" si="6"/>
        <v>0</v>
      </c>
      <c r="M9" s="76">
        <f t="shared" si="7"/>
        <v>0.66634222381651254</v>
      </c>
    </row>
    <row r="10" spans="1:13" x14ac:dyDescent="0.25">
      <c r="A10" s="70">
        <f>'460 Safety Benefit Calc.'!A12</f>
        <v>2025</v>
      </c>
      <c r="B10" s="71">
        <f>SUM('460 Safety Benefit Calc.'!B12:D12)-SUM('460 Safety Benefit Calc.'!E12:G12)</f>
        <v>2850228.8114690417</v>
      </c>
      <c r="C10" s="72"/>
      <c r="D10" s="70">
        <f t="shared" si="0"/>
        <v>2025</v>
      </c>
      <c r="E10" s="75">
        <f t="shared" si="1"/>
        <v>2.8502288114690417</v>
      </c>
      <c r="F10" s="72"/>
      <c r="G10" s="203">
        <f t="shared" si="2"/>
        <v>2025</v>
      </c>
      <c r="H10" s="75">
        <f t="shared" si="3"/>
        <v>2.3174968519917343</v>
      </c>
      <c r="I10" s="76">
        <f t="shared" si="4"/>
        <v>0.81309151134335378</v>
      </c>
      <c r="J10" s="72"/>
      <c r="K10" s="203">
        <f t="shared" si="5"/>
        <v>2025</v>
      </c>
      <c r="L10" s="75">
        <f t="shared" si="6"/>
        <v>1.7749792566543705</v>
      </c>
      <c r="M10" s="76">
        <f t="shared" si="7"/>
        <v>0.62274974188459109</v>
      </c>
    </row>
    <row r="11" spans="1:13" x14ac:dyDescent="0.25">
      <c r="A11" s="70">
        <f>'460 Safety Benefit Calc.'!A13</f>
        <v>2026</v>
      </c>
      <c r="B11" s="71">
        <f>SUM('460 Safety Benefit Calc.'!B13:D13)-SUM('460 Safety Benefit Calc.'!E13:G13)</f>
        <v>2914032.80907063</v>
      </c>
      <c r="C11" s="72"/>
      <c r="D11" s="70">
        <f t="shared" si="0"/>
        <v>2026</v>
      </c>
      <c r="E11" s="73">
        <f t="shared" si="1"/>
        <v>2.9140328090706298</v>
      </c>
      <c r="F11" s="72"/>
      <c r="G11" s="203">
        <f t="shared" si="2"/>
        <v>2026</v>
      </c>
      <c r="H11" s="75">
        <f t="shared" si="3"/>
        <v>2.3003644085741333</v>
      </c>
      <c r="I11" s="76">
        <f t="shared" si="4"/>
        <v>0.78940923431393573</v>
      </c>
      <c r="J11" s="72"/>
      <c r="K11" s="203">
        <f t="shared" si="5"/>
        <v>2026</v>
      </c>
      <c r="L11" s="75">
        <f t="shared" si="6"/>
        <v>1.6959936258803407</v>
      </c>
      <c r="M11" s="76">
        <f t="shared" si="7"/>
        <v>0.5820091045650384</v>
      </c>
    </row>
    <row r="12" spans="1:13" x14ac:dyDescent="0.25">
      <c r="A12" s="70">
        <f>'460 Safety Benefit Calc.'!A14</f>
        <v>2027</v>
      </c>
      <c r="B12" s="71">
        <f>SUM('460 Safety Benefit Calc.'!B14:D14)-SUM('460 Safety Benefit Calc.'!E14:G14)</f>
        <v>2979265.0955497837</v>
      </c>
      <c r="C12" s="72"/>
      <c r="D12" s="70">
        <f t="shared" si="0"/>
        <v>2027</v>
      </c>
      <c r="E12" s="75">
        <f t="shared" si="1"/>
        <v>2.9792650955497835</v>
      </c>
      <c r="F12" s="72"/>
      <c r="G12" s="203">
        <f t="shared" si="2"/>
        <v>2027</v>
      </c>
      <c r="H12" s="75">
        <f t="shared" si="3"/>
        <v>2.2833586193166884</v>
      </c>
      <c r="I12" s="76">
        <f t="shared" si="4"/>
        <v>0.76641673234362695</v>
      </c>
      <c r="J12" s="72"/>
      <c r="K12" s="203">
        <f t="shared" si="5"/>
        <v>2027</v>
      </c>
      <c r="L12" s="75">
        <f t="shared" si="6"/>
        <v>1.6205228135727132</v>
      </c>
      <c r="M12" s="76">
        <f t="shared" si="7"/>
        <v>0.54393374258414806</v>
      </c>
    </row>
    <row r="13" spans="1:13" x14ac:dyDescent="0.25">
      <c r="A13" s="70">
        <f>'460 Safety Benefit Calc.'!A15</f>
        <v>2028</v>
      </c>
      <c r="B13" s="71">
        <f>SUM('460 Safety Benefit Calc.'!B15:D15)-SUM('460 Safety Benefit Calc.'!E15:G15)</f>
        <v>3045957.6439676704</v>
      </c>
      <c r="C13" s="72"/>
      <c r="D13" s="70">
        <f t="shared" si="0"/>
        <v>2028</v>
      </c>
      <c r="E13" s="75">
        <f t="shared" si="1"/>
        <v>3.0459576439676703</v>
      </c>
      <c r="F13" s="72"/>
      <c r="G13" s="203">
        <f t="shared" si="2"/>
        <v>2028</v>
      </c>
      <c r="H13" s="75">
        <f t="shared" si="3"/>
        <v>2.2664785479095091</v>
      </c>
      <c r="I13" s="76">
        <f t="shared" si="4"/>
        <v>0.74409391489672516</v>
      </c>
      <c r="J13" s="72"/>
      <c r="K13" s="203">
        <f t="shared" si="5"/>
        <v>2028</v>
      </c>
      <c r="L13" s="75">
        <f t="shared" si="6"/>
        <v>1.548410412183298</v>
      </c>
      <c r="M13" s="76">
        <f t="shared" si="7"/>
        <v>0.5083492921347178</v>
      </c>
    </row>
    <row r="14" spans="1:13" x14ac:dyDescent="0.25">
      <c r="A14" s="70">
        <f>'460 Safety Benefit Calc.'!A16</f>
        <v>2029</v>
      </c>
      <c r="B14" s="71">
        <f>SUM('460 Safety Benefit Calc.'!B16:D16)-SUM('460 Safety Benefit Calc.'!E16:G16)</f>
        <v>3114143.1431206632</v>
      </c>
      <c r="C14" s="72"/>
      <c r="D14" s="70">
        <f t="shared" si="0"/>
        <v>2029</v>
      </c>
      <c r="E14" s="75">
        <f t="shared" si="1"/>
        <v>3.1141431431206632</v>
      </c>
      <c r="F14" s="72"/>
      <c r="G14" s="203">
        <f t="shared" si="2"/>
        <v>2029</v>
      </c>
      <c r="H14" s="75">
        <f t="shared" si="3"/>
        <v>2.2497232649645116</v>
      </c>
      <c r="I14" s="76">
        <f t="shared" si="4"/>
        <v>0.72242127659876232</v>
      </c>
      <c r="J14" s="72"/>
      <c r="K14" s="203">
        <f t="shared" si="5"/>
        <v>2029</v>
      </c>
      <c r="L14" s="75">
        <f t="shared" si="6"/>
        <v>1.4795069742164244</v>
      </c>
      <c r="M14" s="76">
        <f t="shared" si="7"/>
        <v>0.47509279638758667</v>
      </c>
    </row>
    <row r="15" spans="1:13" x14ac:dyDescent="0.25">
      <c r="A15" s="70">
        <f>'460 Safety Benefit Calc.'!A17</f>
        <v>2030</v>
      </c>
      <c r="B15" s="71">
        <f>SUM('460 Safety Benefit Calc.'!B17:D17)-SUM('460 Safety Benefit Calc.'!E17:G17)</f>
        <v>3183855.0135624819</v>
      </c>
      <c r="C15" s="72"/>
      <c r="D15" s="70">
        <f t="shared" si="0"/>
        <v>2030</v>
      </c>
      <c r="E15" s="73">
        <f t="shared" si="1"/>
        <v>3.1838550135624817</v>
      </c>
      <c r="F15" s="72"/>
      <c r="G15" s="203">
        <f t="shared" si="2"/>
        <v>2030</v>
      </c>
      <c r="H15" s="75">
        <f t="shared" si="3"/>
        <v>2.2330918479642508</v>
      </c>
      <c r="I15" s="76">
        <f t="shared" si="4"/>
        <v>0.70137988019297326</v>
      </c>
      <c r="J15" s="72"/>
      <c r="K15" s="203">
        <f t="shared" si="5"/>
        <v>2030</v>
      </c>
      <c r="L15" s="75">
        <f t="shared" si="6"/>
        <v>1.4136697025103153</v>
      </c>
      <c r="M15" s="76">
        <f t="shared" si="7"/>
        <v>0.44401195924073528</v>
      </c>
    </row>
    <row r="16" spans="1:13" x14ac:dyDescent="0.25">
      <c r="A16" s="70">
        <f>'460 Safety Benefit Calc.'!A18</f>
        <v>2031</v>
      </c>
      <c r="B16" s="71">
        <f>SUM('460 Safety Benefit Calc.'!B18:D18)-SUM('460 Safety Benefit Calc.'!E18:G18)</f>
        <v>3255127.4239850137</v>
      </c>
      <c r="C16" s="72"/>
      <c r="D16" s="70">
        <f t="shared" si="0"/>
        <v>2031</v>
      </c>
      <c r="E16" s="75">
        <f t="shared" si="1"/>
        <v>3.2551274239850136</v>
      </c>
      <c r="F16" s="72"/>
      <c r="G16" s="203">
        <f t="shared" si="2"/>
        <v>2031</v>
      </c>
      <c r="H16" s="75">
        <f t="shared" si="3"/>
        <v>2.2165833812111364</v>
      </c>
      <c r="I16" s="76">
        <f t="shared" si="4"/>
        <v>0.68095133999317792</v>
      </c>
      <c r="J16" s="72"/>
      <c r="K16" s="203">
        <f t="shared" si="5"/>
        <v>2031</v>
      </c>
      <c r="L16" s="75">
        <f t="shared" si="6"/>
        <v>1.3507621543007788</v>
      </c>
      <c r="M16" s="76">
        <f t="shared" si="7"/>
        <v>0.41496444788853759</v>
      </c>
    </row>
    <row r="17" spans="1:13" x14ac:dyDescent="0.25">
      <c r="A17" s="70">
        <f>'460 Safety Benefit Calc.'!A19</f>
        <v>2032</v>
      </c>
      <c r="B17" s="71">
        <f>SUM('460 Safety Benefit Calc.'!B19:D19)-SUM('460 Safety Benefit Calc.'!E19:G19)</f>
        <v>3327995.3079657927</v>
      </c>
      <c r="C17" s="72"/>
      <c r="D17" s="70">
        <f t="shared" si="0"/>
        <v>2032</v>
      </c>
      <c r="E17" s="75">
        <f t="shared" si="1"/>
        <v>3.3279953079657929</v>
      </c>
      <c r="F17" s="72"/>
      <c r="G17" s="203">
        <f t="shared" si="2"/>
        <v>2032</v>
      </c>
      <c r="H17" s="75">
        <f t="shared" si="3"/>
        <v>2.2001969557770051</v>
      </c>
      <c r="I17" s="76">
        <f t="shared" si="4"/>
        <v>0.66111780581861923</v>
      </c>
      <c r="J17" s="72"/>
      <c r="K17" s="203">
        <f t="shared" si="5"/>
        <v>2032</v>
      </c>
      <c r="L17" s="75">
        <f t="shared" si="6"/>
        <v>1.2906539584538963</v>
      </c>
      <c r="M17" s="76">
        <f t="shared" si="7"/>
        <v>0.3878172410173249</v>
      </c>
    </row>
    <row r="18" spans="1:13" x14ac:dyDescent="0.25">
      <c r="A18" s="70">
        <f>'460 Safety Benefit Calc.'!A20</f>
        <v>2033</v>
      </c>
      <c r="B18" s="71">
        <f>SUM('460 Safety Benefit Calc.'!B20:D20)-SUM('460 Safety Benefit Calc.'!E20:G20)</f>
        <v>3402494.3810904184</v>
      </c>
      <c r="C18" s="72"/>
      <c r="D18" s="70">
        <f t="shared" si="0"/>
        <v>2033</v>
      </c>
      <c r="E18" s="75">
        <f t="shared" si="1"/>
        <v>3.4024943810904182</v>
      </c>
      <c r="F18" s="72"/>
      <c r="G18" s="203">
        <f t="shared" si="2"/>
        <v>2033</v>
      </c>
      <c r="H18" s="75">
        <f t="shared" si="3"/>
        <v>2.1839316694530853</v>
      </c>
      <c r="I18" s="76">
        <f t="shared" si="4"/>
        <v>0.64186194739671765</v>
      </c>
      <c r="J18" s="72"/>
      <c r="K18" s="203">
        <f t="shared" si="5"/>
        <v>2033</v>
      </c>
      <c r="L18" s="75">
        <f t="shared" si="6"/>
        <v>1.2332205452817162</v>
      </c>
      <c r="M18" s="76">
        <f t="shared" si="7"/>
        <v>0.36244601964235967</v>
      </c>
    </row>
    <row r="19" spans="1:13" x14ac:dyDescent="0.25">
      <c r="A19" s="70">
        <f>'460 Safety Benefit Calc.'!A21</f>
        <v>2034</v>
      </c>
      <c r="B19" s="71">
        <f>SUM('460 Safety Benefit Calc.'!B21:D21)-SUM('460 Safety Benefit Calc.'!E21:G21)</f>
        <v>3478661.1584582403</v>
      </c>
      <c r="C19" s="72"/>
      <c r="D19" s="70">
        <f t="shared" si="0"/>
        <v>2034</v>
      </c>
      <c r="E19" s="73">
        <f t="shared" si="1"/>
        <v>3.4786611584582405</v>
      </c>
      <c r="F19" s="72"/>
      <c r="G19" s="203">
        <f t="shared" si="2"/>
        <v>2034</v>
      </c>
      <c r="H19" s="75">
        <f t="shared" si="3"/>
        <v>2.1677866267003187</v>
      </c>
      <c r="I19" s="76">
        <f t="shared" si="4"/>
        <v>0.62316693922011435</v>
      </c>
      <c r="J19" s="72"/>
      <c r="K19" s="203">
        <f t="shared" si="5"/>
        <v>2034</v>
      </c>
      <c r="L19" s="75">
        <f t="shared" si="6"/>
        <v>1.1783428883809992</v>
      </c>
      <c r="M19" s="76">
        <f t="shared" si="7"/>
        <v>0.33873459779659787</v>
      </c>
    </row>
    <row r="20" spans="1:13" x14ac:dyDescent="0.25">
      <c r="A20" s="70">
        <f>'460 Safety Benefit Calc.'!A22</f>
        <v>2035</v>
      </c>
      <c r="B20" s="71">
        <f>SUM('460 Safety Benefit Calc.'!B22:D22)-SUM('460 Safety Benefit Calc.'!E22:G22)</f>
        <v>3556532.97257993</v>
      </c>
      <c r="C20" s="72"/>
      <c r="D20" s="70">
        <f t="shared" si="0"/>
        <v>2035</v>
      </c>
      <c r="E20" s="75">
        <f t="shared" si="1"/>
        <v>3.5565329725799302</v>
      </c>
      <c r="F20" s="72"/>
      <c r="G20" s="203">
        <f t="shared" si="2"/>
        <v>2035</v>
      </c>
      <c r="H20" s="75">
        <f t="shared" si="3"/>
        <v>2.1517609386000487</v>
      </c>
      <c r="I20" s="76">
        <f t="shared" si="4"/>
        <v>0.60501644584477121</v>
      </c>
      <c r="J20" s="72"/>
      <c r="K20" s="203">
        <f t="shared" si="5"/>
        <v>2035</v>
      </c>
      <c r="L20" s="75">
        <f t="shared" si="6"/>
        <v>1.1259072579600014</v>
      </c>
      <c r="M20" s="76">
        <f t="shared" si="7"/>
        <v>0.31657439046411018</v>
      </c>
    </row>
    <row r="21" spans="1:13" x14ac:dyDescent="0.25">
      <c r="A21" s="70">
        <f>'460 Safety Benefit Calc.'!A23</f>
        <v>2036</v>
      </c>
      <c r="B21" s="71">
        <f>SUM('460 Safety Benefit Calc.'!B23:D23)-SUM('460 Safety Benefit Calc.'!E23:G23)</f>
        <v>3636147.9916757122</v>
      </c>
      <c r="C21" s="72"/>
      <c r="D21" s="70">
        <f t="shared" si="0"/>
        <v>2036</v>
      </c>
      <c r="E21" s="75">
        <f t="shared" si="1"/>
        <v>3.636147991675712</v>
      </c>
      <c r="F21" s="72"/>
      <c r="G21" s="203">
        <f t="shared" si="2"/>
        <v>2036</v>
      </c>
      <c r="H21" s="75">
        <f t="shared" si="3"/>
        <v>2.1358537228050891</v>
      </c>
      <c r="I21" s="76">
        <f t="shared" si="4"/>
        <v>0.5873946076162827</v>
      </c>
      <c r="J21" s="72"/>
      <c r="K21" s="203">
        <f t="shared" si="5"/>
        <v>2036</v>
      </c>
      <c r="L21" s="75">
        <f t="shared" si="6"/>
        <v>1.0758049851420903</v>
      </c>
      <c r="M21" s="76">
        <f t="shared" si="7"/>
        <v>0.29586391632159825</v>
      </c>
    </row>
    <row r="22" spans="1:13" x14ac:dyDescent="0.25">
      <c r="A22" s="70">
        <f>'460 Safety Benefit Calc.'!A24</f>
        <v>2037</v>
      </c>
      <c r="B22" s="71">
        <f>SUM('460 Safety Benefit Calc.'!B24:D24)-SUM('460 Safety Benefit Calc.'!E24:G24)</f>
        <v>3717545.2383831898</v>
      </c>
      <c r="C22" s="72"/>
      <c r="D22" s="70">
        <f t="shared" si="0"/>
        <v>2037</v>
      </c>
      <c r="E22" s="75">
        <f t="shared" si="1"/>
        <v>3.71754523838319</v>
      </c>
      <c r="F22" s="72"/>
      <c r="G22" s="203">
        <f t="shared" si="2"/>
        <v>2037</v>
      </c>
      <c r="H22" s="75">
        <f t="shared" si="3"/>
        <v>2.1200641034911398</v>
      </c>
      <c r="I22" s="76">
        <f t="shared" si="4"/>
        <v>0.57028602681192497</v>
      </c>
      <c r="J22" s="72"/>
      <c r="K22" s="203">
        <f t="shared" si="5"/>
        <v>2037</v>
      </c>
      <c r="L22" s="75">
        <f t="shared" si="6"/>
        <v>1.0279322367577197</v>
      </c>
      <c r="M22" s="76">
        <f t="shared" si="7"/>
        <v>0.27650833301083949</v>
      </c>
    </row>
    <row r="23" spans="1:13" x14ac:dyDescent="0.25">
      <c r="A23" s="70">
        <f>'460 Safety Benefit Calc.'!A25</f>
        <v>2038</v>
      </c>
      <c r="B23" s="71">
        <f>SUM('460 Safety Benefit Calc.'!B25:D25)-SUM('460 Safety Benefit Calc.'!E25:G25)</f>
        <v>3800764.6088839527</v>
      </c>
      <c r="C23" s="72"/>
      <c r="D23" s="70">
        <f t="shared" si="0"/>
        <v>2038</v>
      </c>
      <c r="E23" s="73">
        <f t="shared" si="1"/>
        <v>3.8007646088839526</v>
      </c>
      <c r="F23" s="72"/>
      <c r="G23" s="203">
        <f t="shared" si="2"/>
        <v>2038</v>
      </c>
      <c r="H23" s="75">
        <f t="shared" si="3"/>
        <v>2.104391211308553</v>
      </c>
      <c r="I23" s="76">
        <f t="shared" si="4"/>
        <v>0.55367575418633497</v>
      </c>
      <c r="J23" s="72"/>
      <c r="K23" s="203">
        <f t="shared" si="5"/>
        <v>2038</v>
      </c>
      <c r="L23" s="75">
        <f t="shared" si="6"/>
        <v>0.9821898001580347</v>
      </c>
      <c r="M23" s="76">
        <f t="shared" si="7"/>
        <v>0.2584190028138687</v>
      </c>
    </row>
    <row r="24" spans="1:13" x14ac:dyDescent="0.25">
      <c r="A24" s="70">
        <f>'460 Safety Benefit Calc.'!A26</f>
        <v>2039</v>
      </c>
      <c r="B24" s="71">
        <f>SUM('460 Safety Benefit Calc.'!B26:D26)-SUM('460 Safety Benefit Calc.'!E26:G26)</f>
        <v>3885846.8924583886</v>
      </c>
      <c r="C24" s="72"/>
      <c r="D24" s="70">
        <f t="shared" si="0"/>
        <v>2039</v>
      </c>
      <c r="E24" s="75">
        <f t="shared" si="1"/>
        <v>3.8858468924583884</v>
      </c>
      <c r="F24" s="72"/>
      <c r="G24" s="203">
        <f t="shared" si="2"/>
        <v>2039</v>
      </c>
      <c r="H24" s="75">
        <f t="shared" si="3"/>
        <v>2.0888341833344897</v>
      </c>
      <c r="I24" s="76">
        <f t="shared" si="4"/>
        <v>0.5375492759090631</v>
      </c>
      <c r="J24" s="72"/>
      <c r="K24" s="203">
        <f t="shared" si="5"/>
        <v>2039</v>
      </c>
      <c r="L24" s="75">
        <f t="shared" si="6"/>
        <v>0.93848287760417493</v>
      </c>
      <c r="M24" s="76">
        <f t="shared" si="7"/>
        <v>0.24151308674193336</v>
      </c>
    </row>
    <row r="25" spans="1:13" x14ac:dyDescent="0.25">
      <c r="A25" s="70">
        <f>'460 Safety Benefit Calc.'!A27</f>
        <v>2040</v>
      </c>
      <c r="B25" s="71">
        <f>SUM('460 Safety Benefit Calc.'!B27:D27)-SUM('460 Safety Benefit Calc.'!E27:G27)</f>
        <v>3972833.7914781794</v>
      </c>
      <c r="C25" s="72"/>
      <c r="D25" s="70">
        <f t="shared" si="0"/>
        <v>2040</v>
      </c>
      <c r="E25" s="75">
        <f t="shared" si="1"/>
        <v>3.9728337914781795</v>
      </c>
      <c r="F25" s="72"/>
      <c r="G25" s="203">
        <f t="shared" si="2"/>
        <v>2040</v>
      </c>
      <c r="H25" s="75">
        <f t="shared" si="3"/>
        <v>2.0733921630253915</v>
      </c>
      <c r="I25" s="76">
        <f t="shared" si="4"/>
        <v>0.52189250088258554</v>
      </c>
      <c r="J25" s="72"/>
      <c r="K25" s="203">
        <f t="shared" si="5"/>
        <v>2040</v>
      </c>
      <c r="L25" s="75">
        <f t="shared" si="6"/>
        <v>0.89672088980612485</v>
      </c>
      <c r="M25" s="76">
        <f t="shared" si="7"/>
        <v>0.22571316517937698</v>
      </c>
    </row>
    <row r="26" spans="1:13" x14ac:dyDescent="0.25">
      <c r="A26" s="70">
        <f>'460 Safety Benefit Calc.'!A28</f>
        <v>2041</v>
      </c>
      <c r="B26" s="71">
        <f>SUM('460 Safety Benefit Calc.'!B28:D28)-SUM('460 Safety Benefit Calc.'!E28:G28)</f>
        <v>4061767.9418463828</v>
      </c>
      <c r="C26" s="72"/>
      <c r="D26" s="70">
        <f t="shared" si="0"/>
        <v>2041</v>
      </c>
      <c r="E26" s="75">
        <f t="shared" si="1"/>
        <v>4.0617679418463828</v>
      </c>
      <c r="F26" s="72"/>
      <c r="G26" s="203">
        <f t="shared" si="2"/>
        <v>2041</v>
      </c>
      <c r="H26" s="75">
        <f t="shared" si="3"/>
        <v>2.0580643001698262</v>
      </c>
      <c r="I26" s="76">
        <f t="shared" si="4"/>
        <v>0.50669174842969467</v>
      </c>
      <c r="J26" s="72"/>
      <c r="K26" s="203">
        <f t="shared" si="5"/>
        <v>2041</v>
      </c>
      <c r="L26" s="75">
        <f t="shared" si="6"/>
        <v>0.85681728820399117</v>
      </c>
      <c r="M26" s="76">
        <f t="shared" si="7"/>
        <v>0.21094688334521211</v>
      </c>
    </row>
    <row r="27" spans="1:13" x14ac:dyDescent="0.25">
      <c r="A27" s="70">
        <f>'460 Safety Benefit Calc.'!A29</f>
        <v>2042</v>
      </c>
      <c r="B27" s="71">
        <f>SUM('460 Safety Benefit Calc.'!B29:D29)-SUM('460 Safety Benefit Calc.'!E29:G29)</f>
        <v>4152692.9338950748</v>
      </c>
      <c r="C27" s="72"/>
      <c r="D27" s="70">
        <f t="shared" si="0"/>
        <v>2042</v>
      </c>
      <c r="E27" s="73">
        <f t="shared" si="1"/>
        <v>4.1526929338950751</v>
      </c>
      <c r="F27" s="72"/>
      <c r="G27" s="203">
        <f t="shared" si="2"/>
        <v>2042</v>
      </c>
      <c r="H27" s="75">
        <f t="shared" si="3"/>
        <v>2.0428497508416839</v>
      </c>
      <c r="I27" s="76">
        <f t="shared" si="4"/>
        <v>0.49193373633950943</v>
      </c>
      <c r="J27" s="72"/>
      <c r="K27" s="203">
        <f t="shared" si="5"/>
        <v>2042</v>
      </c>
      <c r="L27" s="75">
        <f t="shared" si="6"/>
        <v>0.81868937560266453</v>
      </c>
      <c r="M27" s="76">
        <f t="shared" si="7"/>
        <v>0.19714661994879637</v>
      </c>
    </row>
    <row r="28" spans="1:13" x14ac:dyDescent="0.25">
      <c r="A28" s="70">
        <f>'460 Safety Benefit Calc.'!A30</f>
        <v>2043</v>
      </c>
      <c r="B28" s="71">
        <f>SUM('460 Safety Benefit Calc.'!B30:D30)-SUM('460 Safety Benefit Calc.'!E30:G30)</f>
        <v>4245653.3337507667</v>
      </c>
      <c r="C28" s="72"/>
      <c r="D28" s="70">
        <f t="shared" si="0"/>
        <v>2043</v>
      </c>
      <c r="E28" s="75">
        <f t="shared" si="1"/>
        <v>4.2456533337507665</v>
      </c>
      <c r="F28" s="72"/>
      <c r="G28" s="203">
        <f t="shared" si="2"/>
        <v>2043</v>
      </c>
      <c r="H28" s="75">
        <f t="shared" si="3"/>
        <v>2.0277476773536978</v>
      </c>
      <c r="I28" s="76">
        <f t="shared" si="4"/>
        <v>0.47760556926165965</v>
      </c>
      <c r="J28" s="72"/>
      <c r="K28" s="203">
        <f t="shared" si="5"/>
        <v>2043</v>
      </c>
      <c r="L28" s="75">
        <f t="shared" si="6"/>
        <v>0.78225813478813322</v>
      </c>
      <c r="M28" s="76">
        <f t="shared" si="7"/>
        <v>0.18424917752223957</v>
      </c>
    </row>
    <row r="29" spans="1:13" x14ac:dyDescent="0.25">
      <c r="A29" s="70">
        <f>'460 Safety Benefit Calc.'!A31</f>
        <v>2044</v>
      </c>
      <c r="B29" s="71">
        <f>SUM('460 Safety Benefit Calc.'!B31:D31)-SUM('460 Safety Benefit Calc.'!E31:G31)</f>
        <v>4340694.7051781332</v>
      </c>
      <c r="C29" s="72"/>
      <c r="D29" s="70">
        <f t="shared" si="0"/>
        <v>2044</v>
      </c>
      <c r="E29" s="75">
        <f t="shared" si="1"/>
        <v>4.3406947051781328</v>
      </c>
      <c r="F29" s="72"/>
      <c r="G29" s="203">
        <f t="shared" si="2"/>
        <v>2044</v>
      </c>
      <c r="H29" s="75">
        <f t="shared" si="3"/>
        <v>2.0127572482113338</v>
      </c>
      <c r="I29" s="76">
        <f t="shared" si="4"/>
        <v>0.46369472743850448</v>
      </c>
      <c r="J29" s="72"/>
      <c r="K29" s="203">
        <f t="shared" si="5"/>
        <v>2044</v>
      </c>
      <c r="L29" s="75">
        <f t="shared" si="6"/>
        <v>0.74744806477029091</v>
      </c>
      <c r="M29" s="76">
        <f t="shared" si="7"/>
        <v>0.17219549301143888</v>
      </c>
    </row>
    <row r="30" spans="1:13" s="80" customFormat="1" x14ac:dyDescent="0.25">
      <c r="A30" s="77" t="s">
        <v>6</v>
      </c>
      <c r="B30" s="78">
        <f>SUM(B3:B29)</f>
        <v>70922241.198369443</v>
      </c>
      <c r="C30" s="79"/>
      <c r="D30" s="77" t="s">
        <v>6</v>
      </c>
      <c r="E30" s="78">
        <f t="shared" ref="E30" si="8">SUM(E3:E29)</f>
        <v>70.922241198369449</v>
      </c>
      <c r="F30" s="79"/>
      <c r="G30" s="77" t="s">
        <v>6</v>
      </c>
      <c r="H30" s="78">
        <f t="shared" ref="H30" si="9">SUM(H3:H29)</f>
        <v>43.234727473003616</v>
      </c>
      <c r="I30" s="77"/>
      <c r="J30" s="79"/>
      <c r="K30" s="77" t="s">
        <v>6</v>
      </c>
      <c r="L30" s="78">
        <f t="shared" ref="L30" si="10">SUM(L3:L29)</f>
        <v>23.838313242228089</v>
      </c>
      <c r="M30" s="77"/>
    </row>
    <row r="31" spans="1:13" x14ac:dyDescent="0.25">
      <c r="D31" s="381"/>
      <c r="E31" s="381"/>
      <c r="G31" s="381"/>
      <c r="H31" s="381"/>
      <c r="I31" s="381"/>
      <c r="K31" s="381"/>
      <c r="L31" s="381"/>
    </row>
    <row r="32" spans="1:13" x14ac:dyDescent="0.25">
      <c r="D32" s="379"/>
      <c r="E32" s="379"/>
      <c r="G32" s="380"/>
      <c r="H32" s="380"/>
      <c r="I32" s="380"/>
      <c r="K32" s="379"/>
      <c r="L32" s="379"/>
    </row>
  </sheetData>
  <mergeCells count="10">
    <mergeCell ref="D32:E32"/>
    <mergeCell ref="G32:I32"/>
    <mergeCell ref="K32:L32"/>
    <mergeCell ref="A1:B1"/>
    <mergeCell ref="D1:E1"/>
    <mergeCell ref="G1:H1"/>
    <mergeCell ref="K1:L1"/>
    <mergeCell ref="D31:E31"/>
    <mergeCell ref="G31:I31"/>
    <mergeCell ref="K31:L31"/>
  </mergeCells>
  <conditionalFormatting sqref="A3:XFD30">
    <cfRule type="cellIs" dxfId="0" priority="1" operator="lessThan">
      <formula>0</formula>
    </cfRule>
  </conditionalFormatting>
  <pageMargins left="0.7" right="0.7" top="0.75" bottom="0.75" header="0.3" footer="0.3"/>
  <pageSetup scale="74" orientation="portrait" horizontalDpi="1200" verticalDpi="1200" r:id="rId1"/>
  <colBreaks count="3" manualBreakCount="3">
    <brk id="2" max="32" man="1"/>
    <brk id="5" max="1048575" man="1"/>
    <brk id="9" max="32"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05861-1B0A-4F49-826F-10909D1FAF2F}">
  <sheetPr>
    <tabColor rgb="FFC00000"/>
  </sheetPr>
  <dimension ref="A1:U49"/>
  <sheetViews>
    <sheetView zoomScaleNormal="100" workbookViewId="0">
      <selection activeCell="F10" sqref="F10"/>
    </sheetView>
  </sheetViews>
  <sheetFormatPr defaultRowHeight="15" x14ac:dyDescent="0.25"/>
  <cols>
    <col min="1" max="1" width="5.5703125" style="200" customWidth="1"/>
    <col min="2" max="2" width="42" style="200" customWidth="1"/>
    <col min="3" max="3" width="28" style="200" customWidth="1"/>
    <col min="4" max="4" width="18.140625" style="200" customWidth="1"/>
    <col min="5" max="5" width="55.42578125" style="200" customWidth="1"/>
    <col min="6" max="6" width="13.28515625" style="200" bestFit="1" customWidth="1"/>
    <col min="7" max="7" width="9.140625" style="200"/>
    <col min="8" max="8" width="11.7109375" style="200" customWidth="1"/>
    <col min="9" max="9" width="11" style="200" customWidth="1"/>
    <col min="10" max="10" width="10.28515625" style="200" customWidth="1"/>
    <col min="11" max="16384" width="9.140625" style="200"/>
  </cols>
  <sheetData>
    <row r="1" spans="1:16" ht="21" x14ac:dyDescent="0.25">
      <c r="A1" s="271" t="s">
        <v>348</v>
      </c>
    </row>
    <row r="2" spans="1:16" x14ac:dyDescent="0.25">
      <c r="A2" s="272"/>
      <c r="B2" s="272" t="s">
        <v>246</v>
      </c>
      <c r="C2" s="272" t="s">
        <v>247</v>
      </c>
      <c r="D2" s="272" t="s">
        <v>248</v>
      </c>
      <c r="E2" s="272" t="s">
        <v>249</v>
      </c>
      <c r="F2" s="97"/>
      <c r="G2" s="273" t="s">
        <v>356</v>
      </c>
      <c r="H2" s="274"/>
      <c r="I2" s="274"/>
      <c r="J2" s="274"/>
      <c r="P2" s="273" t="s">
        <v>357</v>
      </c>
    </row>
    <row r="3" spans="1:16" ht="30" x14ac:dyDescent="0.25">
      <c r="A3" s="189" t="s">
        <v>250</v>
      </c>
      <c r="B3" s="189" t="s">
        <v>251</v>
      </c>
      <c r="C3" s="189" t="s">
        <v>350</v>
      </c>
      <c r="D3" s="189" t="s">
        <v>252</v>
      </c>
      <c r="E3" s="189" t="s">
        <v>351</v>
      </c>
      <c r="F3" s="97"/>
      <c r="G3" s="146"/>
      <c r="H3" s="274"/>
      <c r="I3" s="274"/>
      <c r="J3" s="274"/>
    </row>
    <row r="4" spans="1:16" ht="30" x14ac:dyDescent="0.25">
      <c r="A4" s="189" t="s">
        <v>253</v>
      </c>
      <c r="B4" s="189" t="s">
        <v>352</v>
      </c>
      <c r="C4" s="189">
        <f>450/2</f>
        <v>225</v>
      </c>
      <c r="D4" s="189" t="s">
        <v>254</v>
      </c>
      <c r="E4" s="189" t="s">
        <v>353</v>
      </c>
    </row>
    <row r="5" spans="1:16" ht="30" x14ac:dyDescent="0.25">
      <c r="A5" s="189" t="s">
        <v>255</v>
      </c>
      <c r="B5" s="189" t="s">
        <v>256</v>
      </c>
      <c r="C5" s="189">
        <v>28.2</v>
      </c>
      <c r="D5" s="189" t="s">
        <v>257</v>
      </c>
      <c r="E5" s="189" t="s">
        <v>358</v>
      </c>
    </row>
    <row r="6" spans="1:16" ht="30" x14ac:dyDescent="0.25">
      <c r="A6" s="189" t="s">
        <v>259</v>
      </c>
      <c r="B6" s="189" t="s">
        <v>260</v>
      </c>
      <c r="C6" s="189">
        <v>34</v>
      </c>
      <c r="D6" s="189" t="s">
        <v>261</v>
      </c>
      <c r="E6" s="189" t="s">
        <v>258</v>
      </c>
    </row>
    <row r="7" spans="1:16" ht="30" x14ac:dyDescent="0.25">
      <c r="A7" s="189" t="s">
        <v>262</v>
      </c>
      <c r="B7" s="189" t="s">
        <v>263</v>
      </c>
      <c r="C7" s="189">
        <v>20.399999999999999</v>
      </c>
      <c r="D7" s="189" t="s">
        <v>257</v>
      </c>
      <c r="E7" s="189" t="s">
        <v>359</v>
      </c>
    </row>
    <row r="8" spans="1:16" ht="30" x14ac:dyDescent="0.25">
      <c r="A8" s="189" t="s">
        <v>265</v>
      </c>
      <c r="B8" s="189" t="s">
        <v>266</v>
      </c>
      <c r="C8" s="189">
        <v>28</v>
      </c>
      <c r="D8" s="189" t="s">
        <v>261</v>
      </c>
      <c r="E8" s="189" t="s">
        <v>264</v>
      </c>
    </row>
    <row r="9" spans="1:16" ht="30" x14ac:dyDescent="0.25">
      <c r="A9" s="189" t="s">
        <v>267</v>
      </c>
      <c r="B9" s="189" t="s">
        <v>268</v>
      </c>
      <c r="C9" s="189">
        <f>2*(C5-C7)</f>
        <v>15.600000000000001</v>
      </c>
      <c r="D9" s="189" t="s">
        <v>257</v>
      </c>
      <c r="E9" s="275" t="s">
        <v>269</v>
      </c>
    </row>
    <row r="10" spans="1:16" ht="30" x14ac:dyDescent="0.25">
      <c r="A10" s="189" t="s">
        <v>270</v>
      </c>
      <c r="B10" s="189" t="s">
        <v>271</v>
      </c>
      <c r="C10" s="189">
        <f>2*(C6-C8)</f>
        <v>12</v>
      </c>
      <c r="D10" s="189" t="s">
        <v>261</v>
      </c>
      <c r="E10" s="189" t="s">
        <v>272</v>
      </c>
    </row>
    <row r="11" spans="1:16" x14ac:dyDescent="0.25">
      <c r="A11" s="189" t="s">
        <v>273</v>
      </c>
      <c r="B11" s="189" t="s">
        <v>274</v>
      </c>
      <c r="C11" s="189">
        <f>C9*C4</f>
        <v>3510.0000000000005</v>
      </c>
      <c r="D11" s="189" t="s">
        <v>257</v>
      </c>
      <c r="E11" s="275" t="s">
        <v>275</v>
      </c>
      <c r="F11" s="276"/>
      <c r="G11" s="276"/>
    </row>
    <row r="12" spans="1:16" x14ac:dyDescent="0.25">
      <c r="A12" s="189" t="s">
        <v>276</v>
      </c>
      <c r="B12" s="189" t="s">
        <v>277</v>
      </c>
      <c r="C12" s="189">
        <f>(C10/60)*C4</f>
        <v>45</v>
      </c>
      <c r="D12" s="189" t="s">
        <v>278</v>
      </c>
      <c r="E12" s="189" t="s">
        <v>279</v>
      </c>
      <c r="F12" s="276"/>
      <c r="G12" s="276"/>
    </row>
    <row r="13" spans="1:16" x14ac:dyDescent="0.25">
      <c r="A13" s="189" t="s">
        <v>280</v>
      </c>
      <c r="B13" s="189" t="s">
        <v>281</v>
      </c>
      <c r="C13" s="189">
        <v>260</v>
      </c>
      <c r="D13" s="189" t="s">
        <v>282</v>
      </c>
      <c r="E13" s="189" t="s">
        <v>283</v>
      </c>
    </row>
    <row r="14" spans="1:16" x14ac:dyDescent="0.25">
      <c r="A14" s="277" t="s">
        <v>284</v>
      </c>
      <c r="B14" s="277" t="s">
        <v>285</v>
      </c>
      <c r="C14" s="278">
        <f>C11*$C$13</f>
        <v>912600.00000000012</v>
      </c>
      <c r="D14" s="278" t="s">
        <v>286</v>
      </c>
      <c r="E14" s="279" t="s">
        <v>287</v>
      </c>
    </row>
    <row r="15" spans="1:16" x14ac:dyDescent="0.25">
      <c r="A15" s="277" t="s">
        <v>288</v>
      </c>
      <c r="B15" s="277" t="s">
        <v>289</v>
      </c>
      <c r="C15" s="280">
        <f>C12*C13</f>
        <v>11700</v>
      </c>
      <c r="D15" s="280" t="s">
        <v>290</v>
      </c>
      <c r="E15" s="279" t="s">
        <v>291</v>
      </c>
    </row>
    <row r="17" spans="1:21" ht="21" x14ac:dyDescent="0.25">
      <c r="A17" s="271" t="s">
        <v>349</v>
      </c>
    </row>
    <row r="18" spans="1:21" x14ac:dyDescent="0.25">
      <c r="A18" s="272"/>
      <c r="B18" s="272" t="s">
        <v>246</v>
      </c>
      <c r="C18" s="272" t="s">
        <v>247</v>
      </c>
      <c r="D18" s="272" t="s">
        <v>248</v>
      </c>
      <c r="E18" s="272" t="s">
        <v>249</v>
      </c>
      <c r="G18" s="273" t="s">
        <v>360</v>
      </c>
      <c r="U18" s="273"/>
    </row>
    <row r="19" spans="1:21" ht="30" x14ac:dyDescent="0.25">
      <c r="A19" s="189" t="s">
        <v>250</v>
      </c>
      <c r="B19" s="189" t="s">
        <v>251</v>
      </c>
      <c r="C19" s="189" t="s">
        <v>350</v>
      </c>
      <c r="D19" s="189" t="s">
        <v>252</v>
      </c>
      <c r="E19" s="189" t="s">
        <v>351</v>
      </c>
    </row>
    <row r="20" spans="1:21" ht="30" x14ac:dyDescent="0.25">
      <c r="A20" s="189" t="s">
        <v>253</v>
      </c>
      <c r="B20" s="189" t="s">
        <v>354</v>
      </c>
      <c r="C20" s="189">
        <f>450/2</f>
        <v>225</v>
      </c>
      <c r="D20" s="189" t="s">
        <v>254</v>
      </c>
      <c r="E20" s="189" t="s">
        <v>355</v>
      </c>
    </row>
    <row r="21" spans="1:21" x14ac:dyDescent="0.25">
      <c r="A21" s="328" t="s">
        <v>255</v>
      </c>
      <c r="B21" s="328" t="s">
        <v>256</v>
      </c>
      <c r="C21" s="328">
        <v>32.200000000000003</v>
      </c>
      <c r="D21" s="328" t="s">
        <v>257</v>
      </c>
      <c r="E21" s="328" t="s">
        <v>292</v>
      </c>
    </row>
    <row r="22" spans="1:21" x14ac:dyDescent="0.25">
      <c r="A22" s="328" t="s">
        <v>259</v>
      </c>
      <c r="B22" s="328" t="s">
        <v>260</v>
      </c>
      <c r="C22" s="328">
        <v>36</v>
      </c>
      <c r="D22" s="328" t="s">
        <v>261</v>
      </c>
      <c r="E22" s="328" t="s">
        <v>292</v>
      </c>
    </row>
    <row r="23" spans="1:21" ht="30" x14ac:dyDescent="0.25">
      <c r="A23" s="189" t="s">
        <v>262</v>
      </c>
      <c r="B23" s="189" t="s">
        <v>263</v>
      </c>
      <c r="C23" s="189">
        <v>20.399999999999999</v>
      </c>
      <c r="D23" s="189" t="s">
        <v>257</v>
      </c>
      <c r="E23" s="189" t="s">
        <v>359</v>
      </c>
    </row>
    <row r="24" spans="1:21" ht="30" x14ac:dyDescent="0.25">
      <c r="A24" s="189" t="s">
        <v>265</v>
      </c>
      <c r="B24" s="189" t="s">
        <v>266</v>
      </c>
      <c r="C24" s="189">
        <v>28</v>
      </c>
      <c r="D24" s="189" t="s">
        <v>261</v>
      </c>
      <c r="E24" s="189" t="s">
        <v>264</v>
      </c>
    </row>
    <row r="25" spans="1:21" ht="30" x14ac:dyDescent="0.25">
      <c r="A25" s="189" t="s">
        <v>267</v>
      </c>
      <c r="B25" s="189" t="s">
        <v>268</v>
      </c>
      <c r="C25" s="189">
        <f>2*(C21-C23)</f>
        <v>23.600000000000009</v>
      </c>
      <c r="D25" s="189" t="s">
        <v>257</v>
      </c>
      <c r="E25" s="275" t="s">
        <v>269</v>
      </c>
    </row>
    <row r="26" spans="1:21" ht="30" x14ac:dyDescent="0.25">
      <c r="A26" s="189" t="s">
        <v>270</v>
      </c>
      <c r="B26" s="189" t="s">
        <v>271</v>
      </c>
      <c r="C26" s="189">
        <f>2*(C22-C24)</f>
        <v>16</v>
      </c>
      <c r="D26" s="189" t="s">
        <v>261</v>
      </c>
      <c r="E26" s="189" t="s">
        <v>272</v>
      </c>
    </row>
    <row r="27" spans="1:21" x14ac:dyDescent="0.25">
      <c r="A27" s="189" t="s">
        <v>273</v>
      </c>
      <c r="B27" s="189" t="s">
        <v>274</v>
      </c>
      <c r="C27" s="189">
        <f>C25*C20</f>
        <v>5310.0000000000018</v>
      </c>
      <c r="D27" s="189" t="s">
        <v>257</v>
      </c>
      <c r="E27" s="275" t="s">
        <v>275</v>
      </c>
    </row>
    <row r="28" spans="1:21" x14ac:dyDescent="0.25">
      <c r="A28" s="189" t="s">
        <v>276</v>
      </c>
      <c r="B28" s="189" t="s">
        <v>277</v>
      </c>
      <c r="C28" s="281">
        <f>(C26/60)*C20</f>
        <v>60</v>
      </c>
      <c r="D28" s="189" t="s">
        <v>278</v>
      </c>
      <c r="E28" s="189" t="s">
        <v>279</v>
      </c>
    </row>
    <row r="29" spans="1:21" x14ac:dyDescent="0.25">
      <c r="A29" s="189" t="s">
        <v>280</v>
      </c>
      <c r="B29" s="189" t="s">
        <v>281</v>
      </c>
      <c r="C29" s="189">
        <v>260</v>
      </c>
      <c r="D29" s="189" t="s">
        <v>282</v>
      </c>
      <c r="E29" s="189" t="s">
        <v>283</v>
      </c>
    </row>
    <row r="30" spans="1:21" x14ac:dyDescent="0.25">
      <c r="A30" s="277" t="s">
        <v>284</v>
      </c>
      <c r="B30" s="277" t="s">
        <v>285</v>
      </c>
      <c r="C30" s="278">
        <f>C27*$C$13</f>
        <v>1380600.0000000005</v>
      </c>
      <c r="D30" s="278" t="s">
        <v>286</v>
      </c>
      <c r="E30" s="279" t="s">
        <v>287</v>
      </c>
    </row>
    <row r="31" spans="1:21" x14ac:dyDescent="0.25">
      <c r="A31" s="277" t="s">
        <v>288</v>
      </c>
      <c r="B31" s="277" t="s">
        <v>289</v>
      </c>
      <c r="C31" s="282">
        <f>C28*C29</f>
        <v>15600</v>
      </c>
      <c r="D31" s="280" t="s">
        <v>290</v>
      </c>
      <c r="E31" s="279" t="s">
        <v>291</v>
      </c>
    </row>
    <row r="34" spans="2:7" x14ac:dyDescent="0.25">
      <c r="B34" s="95" t="s">
        <v>293</v>
      </c>
    </row>
    <row r="36" spans="2:7" x14ac:dyDescent="0.25">
      <c r="B36" s="382" t="s">
        <v>7</v>
      </c>
      <c r="C36" s="382"/>
      <c r="D36" s="382"/>
      <c r="E36" s="382" t="s">
        <v>144</v>
      </c>
      <c r="F36" s="382"/>
      <c r="G36" s="382"/>
    </row>
    <row r="37" spans="2:7" x14ac:dyDescent="0.25">
      <c r="B37" s="188" t="s">
        <v>2</v>
      </c>
      <c r="C37" s="188" t="s">
        <v>226</v>
      </c>
      <c r="D37" s="188" t="s">
        <v>8</v>
      </c>
      <c r="E37" s="188" t="s">
        <v>2</v>
      </c>
      <c r="F37" s="188" t="s">
        <v>226</v>
      </c>
      <c r="G37" s="188" t="s">
        <v>8</v>
      </c>
    </row>
    <row r="38" spans="2:7" x14ac:dyDescent="0.25">
      <c r="B38" s="338">
        <f>(C4*2*C13)+(C20*2*C29)</f>
        <v>234000</v>
      </c>
      <c r="C38" s="284">
        <f>C14+C30</f>
        <v>2293200.0000000005</v>
      </c>
      <c r="D38" s="285">
        <f>C15+C31</f>
        <v>27300</v>
      </c>
      <c r="E38" s="283">
        <f>B38</f>
        <v>234000</v>
      </c>
      <c r="F38" s="283">
        <v>0</v>
      </c>
      <c r="G38" s="283">
        <v>0</v>
      </c>
    </row>
    <row r="40" spans="2:7" x14ac:dyDescent="0.25">
      <c r="B40" s="286" t="s">
        <v>294</v>
      </c>
      <c r="C40" s="287">
        <f>C38/B38</f>
        <v>9.8000000000000025</v>
      </c>
      <c r="D40" s="288"/>
    </row>
    <row r="41" spans="2:7" x14ac:dyDescent="0.25">
      <c r="B41" s="200" t="s">
        <v>295</v>
      </c>
      <c r="C41" s="287">
        <f>((C4*C9)+(C20*C25))/(C4+C20)*0.5</f>
        <v>9.8000000000000025</v>
      </c>
      <c r="D41" s="200" t="b">
        <f>C41=C40</f>
        <v>1</v>
      </c>
    </row>
    <row r="44" spans="2:7" x14ac:dyDescent="0.25">
      <c r="B44" s="286" t="s">
        <v>296</v>
      </c>
      <c r="C44" s="287">
        <f>D38/B38</f>
        <v>0.11666666666666667</v>
      </c>
    </row>
    <row r="45" spans="2:7" x14ac:dyDescent="0.25">
      <c r="B45" s="200" t="s">
        <v>295</v>
      </c>
      <c r="C45" s="287">
        <f>((C4*C10)+(C20*C26))/(C4+C20)*0.5/60</f>
        <v>0.11666666666666667</v>
      </c>
      <c r="D45" s="200" t="b">
        <f>C45=C44</f>
        <v>1</v>
      </c>
    </row>
    <row r="48" spans="2:7" x14ac:dyDescent="0.25">
      <c r="B48" s="95" t="s">
        <v>297</v>
      </c>
    </row>
    <row r="49" spans="2:3" x14ac:dyDescent="0.25">
      <c r="B49" s="289">
        <v>1.9202432334840536E-2</v>
      </c>
      <c r="C49" s="200" t="s">
        <v>298</v>
      </c>
    </row>
  </sheetData>
  <mergeCells count="2">
    <mergeCell ref="B36:D36"/>
    <mergeCell ref="E36:G3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FB8E9-538B-4D7E-B0C0-510D875BD541}">
  <sheetPr>
    <tabColor rgb="FFC00000"/>
  </sheetPr>
  <dimension ref="A1:BI35"/>
  <sheetViews>
    <sheetView zoomScale="85" zoomScaleNormal="85" zoomScaleSheetLayoutView="106" workbookViewId="0">
      <pane xSplit="1" ySplit="4" topLeftCell="X5" activePane="bottomRight" state="frozen"/>
      <selection activeCell="G14" sqref="G14"/>
      <selection pane="topRight" activeCell="G14" sqref="G14"/>
      <selection pane="bottomLeft" activeCell="G14" sqref="G14"/>
      <selection pane="bottomRight" activeCell="AF12" sqref="AF12"/>
    </sheetView>
  </sheetViews>
  <sheetFormatPr defaultColWidth="9.140625" defaultRowHeight="15" x14ac:dyDescent="0.25"/>
  <cols>
    <col min="1" max="1" width="10" style="54" bestFit="1" customWidth="1"/>
    <col min="2" max="2" width="14.42578125" style="54" bestFit="1" customWidth="1"/>
    <col min="3" max="3" width="14.28515625" style="54" customWidth="1"/>
    <col min="4" max="4" width="14" style="54" bestFit="1" customWidth="1"/>
    <col min="5" max="5" width="14.140625" style="54" customWidth="1"/>
    <col min="6" max="6" width="12.7109375" style="54" customWidth="1"/>
    <col min="7" max="7" width="12.42578125" style="54" customWidth="1"/>
    <col min="8" max="8" width="14" style="54" customWidth="1"/>
    <col min="9" max="9" width="13.5703125" style="54" customWidth="1"/>
    <col min="10" max="10" width="13.7109375" style="54" bestFit="1" customWidth="1"/>
    <col min="11" max="11" width="14.28515625" style="54" customWidth="1"/>
    <col min="12" max="12" width="15.140625" style="54" customWidth="1"/>
    <col min="13" max="13" width="12.28515625" style="54" customWidth="1"/>
    <col min="14" max="14" width="13.28515625" style="54" customWidth="1"/>
    <col min="15" max="15" width="14" style="54" bestFit="1" customWidth="1"/>
    <col min="16" max="16" width="14.42578125" style="54" bestFit="1" customWidth="1"/>
    <col min="17" max="17" width="12.5703125" style="54" customWidth="1"/>
    <col min="18" max="18" width="14.28515625" style="54" customWidth="1"/>
    <col min="19" max="19" width="12.7109375" style="54" bestFit="1" customWidth="1"/>
    <col min="20" max="20" width="9.5703125" style="54" customWidth="1"/>
    <col min="21" max="21" width="11.7109375" style="54" customWidth="1"/>
    <col min="22" max="22" width="9.42578125" style="54" customWidth="1"/>
    <col min="23" max="23" width="9.85546875" style="54" customWidth="1"/>
    <col min="24" max="24" width="12.5703125" style="54" customWidth="1"/>
    <col min="25" max="25" width="11.140625" style="54" customWidth="1"/>
    <col min="26" max="26" width="11.5703125" style="54" bestFit="1" customWidth="1"/>
    <col min="27" max="27" width="12.7109375" style="54" bestFit="1" customWidth="1"/>
    <col min="28" max="28" width="9.85546875" style="54" bestFit="1" customWidth="1"/>
    <col min="29" max="29" width="11.5703125" style="54" bestFit="1" customWidth="1"/>
    <col min="30" max="30" width="12.7109375" style="54" bestFit="1" customWidth="1"/>
    <col min="31" max="31" width="9.85546875" style="54" bestFit="1" customWidth="1"/>
    <col min="32" max="32" width="13.28515625" style="54" customWidth="1"/>
    <col min="33" max="34" width="10.85546875" style="54" customWidth="1"/>
    <col min="35" max="35" width="9.85546875" style="54" customWidth="1"/>
    <col min="36" max="37" width="10.85546875" style="54" customWidth="1"/>
    <col min="38" max="16384" width="9.140625" style="54"/>
  </cols>
  <sheetData>
    <row r="1" spans="1:37" x14ac:dyDescent="0.25">
      <c r="B1" s="95" t="s">
        <v>79</v>
      </c>
      <c r="D1" s="96"/>
      <c r="I1" s="95" t="s">
        <v>79</v>
      </c>
      <c r="K1" s="95" t="s">
        <v>79</v>
      </c>
      <c r="N1" s="95" t="s">
        <v>79</v>
      </c>
      <c r="R1" s="106"/>
      <c r="T1" s="106"/>
      <c r="Z1" s="95" t="s">
        <v>79</v>
      </c>
      <c r="AF1" s="97">
        <v>100000000</v>
      </c>
    </row>
    <row r="2" spans="1:37" s="100" customFormat="1" ht="15" customHeight="1" x14ac:dyDescent="0.25">
      <c r="A2" s="98"/>
      <c r="B2" s="352" t="s">
        <v>3</v>
      </c>
      <c r="C2" s="353"/>
      <c r="D2" s="354"/>
      <c r="E2" s="352" t="s">
        <v>4</v>
      </c>
      <c r="F2" s="353"/>
      <c r="G2" s="354"/>
      <c r="H2" s="352" t="s">
        <v>3</v>
      </c>
      <c r="I2" s="353"/>
      <c r="J2" s="354"/>
      <c r="K2" s="352" t="s">
        <v>4</v>
      </c>
      <c r="L2" s="353"/>
      <c r="M2" s="354"/>
      <c r="N2" s="352" t="s">
        <v>3</v>
      </c>
      <c r="O2" s="353"/>
      <c r="P2" s="354"/>
      <c r="Q2" s="352" t="s">
        <v>4</v>
      </c>
      <c r="R2" s="353"/>
      <c r="S2" s="354"/>
      <c r="T2" s="352" t="s">
        <v>3</v>
      </c>
      <c r="U2" s="353"/>
      <c r="V2" s="354"/>
      <c r="W2" s="352" t="s">
        <v>4</v>
      </c>
      <c r="X2" s="353"/>
      <c r="Y2" s="354"/>
      <c r="Z2" s="352" t="s">
        <v>3</v>
      </c>
      <c r="AA2" s="353"/>
      <c r="AB2" s="354"/>
      <c r="AC2" s="352" t="s">
        <v>4</v>
      </c>
      <c r="AD2" s="353"/>
      <c r="AE2" s="354"/>
      <c r="AF2" s="352" t="s">
        <v>3</v>
      </c>
      <c r="AG2" s="353"/>
      <c r="AH2" s="354"/>
      <c r="AI2" s="352" t="s">
        <v>4</v>
      </c>
      <c r="AJ2" s="353"/>
      <c r="AK2" s="354"/>
    </row>
    <row r="3" spans="1:37" s="100" customFormat="1" ht="30" customHeight="1" x14ac:dyDescent="0.25">
      <c r="A3" s="98"/>
      <c r="B3" s="352" t="s">
        <v>2</v>
      </c>
      <c r="C3" s="353"/>
      <c r="D3" s="354"/>
      <c r="E3" s="352" t="s">
        <v>2</v>
      </c>
      <c r="F3" s="353"/>
      <c r="G3" s="354"/>
      <c r="H3" s="352" t="s">
        <v>22</v>
      </c>
      <c r="I3" s="353"/>
      <c r="J3" s="354"/>
      <c r="K3" s="352" t="s">
        <v>22</v>
      </c>
      <c r="L3" s="353"/>
      <c r="M3" s="354"/>
      <c r="N3" s="352" t="s">
        <v>8</v>
      </c>
      <c r="O3" s="353"/>
      <c r="P3" s="354"/>
      <c r="Q3" s="352" t="s">
        <v>8</v>
      </c>
      <c r="R3" s="353"/>
      <c r="S3" s="354"/>
      <c r="T3" s="352" t="s">
        <v>38</v>
      </c>
      <c r="U3" s="353"/>
      <c r="V3" s="354"/>
      <c r="W3" s="352" t="s">
        <v>38</v>
      </c>
      <c r="X3" s="353"/>
      <c r="Y3" s="354"/>
      <c r="Z3" s="352" t="s">
        <v>111</v>
      </c>
      <c r="AA3" s="353"/>
      <c r="AB3" s="354"/>
      <c r="AC3" s="352" t="s">
        <v>39</v>
      </c>
      <c r="AD3" s="353"/>
      <c r="AE3" s="354"/>
      <c r="AF3" s="352" t="s">
        <v>45</v>
      </c>
      <c r="AG3" s="353"/>
      <c r="AH3" s="354"/>
      <c r="AI3" s="352" t="s">
        <v>45</v>
      </c>
      <c r="AJ3" s="353"/>
      <c r="AK3" s="354"/>
    </row>
    <row r="4" spans="1:37" s="100" customFormat="1" ht="30" x14ac:dyDescent="0.25">
      <c r="A4" s="101" t="s">
        <v>0</v>
      </c>
      <c r="B4" s="101" t="s">
        <v>20</v>
      </c>
      <c r="C4" s="101" t="s">
        <v>21</v>
      </c>
      <c r="D4" s="101" t="s">
        <v>1</v>
      </c>
      <c r="E4" s="101" t="s">
        <v>20</v>
      </c>
      <c r="F4" s="101" t="s">
        <v>21</v>
      </c>
      <c r="G4" s="101" t="s">
        <v>1</v>
      </c>
      <c r="H4" s="101" t="s">
        <v>20</v>
      </c>
      <c r="I4" s="101" t="s">
        <v>21</v>
      </c>
      <c r="J4" s="101" t="s">
        <v>1</v>
      </c>
      <c r="K4" s="101" t="s">
        <v>20</v>
      </c>
      <c r="L4" s="101" t="s">
        <v>21</v>
      </c>
      <c r="M4" s="101" t="s">
        <v>1</v>
      </c>
      <c r="N4" s="101" t="s">
        <v>20</v>
      </c>
      <c r="O4" s="101" t="s">
        <v>21</v>
      </c>
      <c r="P4" s="101" t="s">
        <v>1</v>
      </c>
      <c r="Q4" s="101" t="s">
        <v>20</v>
      </c>
      <c r="R4" s="101" t="s">
        <v>21</v>
      </c>
      <c r="S4" s="101" t="s">
        <v>1</v>
      </c>
      <c r="T4" s="101" t="s">
        <v>20</v>
      </c>
      <c r="U4" s="101" t="s">
        <v>21</v>
      </c>
      <c r="V4" s="101" t="s">
        <v>1</v>
      </c>
      <c r="W4" s="101" t="s">
        <v>20</v>
      </c>
      <c r="X4" s="101" t="s">
        <v>21</v>
      </c>
      <c r="Y4" s="101" t="s">
        <v>1</v>
      </c>
      <c r="Z4" s="101" t="s">
        <v>20</v>
      </c>
      <c r="AA4" s="101" t="s">
        <v>21</v>
      </c>
      <c r="AB4" s="101" t="s">
        <v>1</v>
      </c>
      <c r="AC4" s="101" t="s">
        <v>20</v>
      </c>
      <c r="AD4" s="101" t="s">
        <v>21</v>
      </c>
      <c r="AE4" s="101" t="s">
        <v>1</v>
      </c>
      <c r="AF4" s="101" t="s">
        <v>41</v>
      </c>
      <c r="AG4" s="101" t="s">
        <v>42</v>
      </c>
      <c r="AH4" s="101" t="s">
        <v>43</v>
      </c>
      <c r="AI4" s="101" t="s">
        <v>41</v>
      </c>
      <c r="AJ4" s="101" t="s">
        <v>42</v>
      </c>
      <c r="AK4" s="101" t="s">
        <v>43</v>
      </c>
    </row>
    <row r="5" spans="1:37" s="221" customFormat="1" x14ac:dyDescent="0.25">
      <c r="A5" s="290">
        <v>2018</v>
      </c>
      <c r="B5" s="291">
        <v>0</v>
      </c>
      <c r="C5" s="291">
        <v>0</v>
      </c>
      <c r="D5" s="291">
        <f>'Custom Truck Inputs'!$B$38</f>
        <v>234000</v>
      </c>
      <c r="E5" s="291">
        <v>0</v>
      </c>
      <c r="F5" s="291">
        <v>0</v>
      </c>
      <c r="G5" s="292">
        <f>D5</f>
        <v>234000</v>
      </c>
      <c r="H5" s="291">
        <v>0</v>
      </c>
      <c r="I5" s="291">
        <v>0</v>
      </c>
      <c r="J5" s="292">
        <f>'Custom Truck Inputs'!$C$38</f>
        <v>2293200.0000000005</v>
      </c>
      <c r="K5" s="291">
        <v>0</v>
      </c>
      <c r="L5" s="291">
        <v>0</v>
      </c>
      <c r="M5" s="291">
        <f>J5</f>
        <v>2293200.0000000005</v>
      </c>
      <c r="N5" s="291">
        <v>0</v>
      </c>
      <c r="O5" s="291">
        <v>0</v>
      </c>
      <c r="P5" s="291">
        <f>'Custom Truck Inputs'!$D$38</f>
        <v>27300</v>
      </c>
      <c r="Q5" s="291">
        <v>0</v>
      </c>
      <c r="R5" s="291">
        <v>0</v>
      </c>
      <c r="S5" s="291">
        <f>P5</f>
        <v>27300</v>
      </c>
      <c r="T5" s="293">
        <v>0</v>
      </c>
      <c r="U5" s="293">
        <v>0</v>
      </c>
      <c r="V5" s="293">
        <v>0</v>
      </c>
      <c r="W5" s="293">
        <v>0</v>
      </c>
      <c r="X5" s="293">
        <v>0</v>
      </c>
      <c r="Y5" s="293">
        <v>0</v>
      </c>
      <c r="Z5" s="291">
        <f>IFERROR((-1.5*T5^4+2.05*T5^3+0.16*T5^2+0.04*T5+0.025)*N5,0)*'Fixed Factors'!$I$13</f>
        <v>0</v>
      </c>
      <c r="AA5" s="291">
        <f>IFERROR((-1.5*U5^4+2.05*U5^3+0.16*U5^2+0.04*U5+0.025)*O5,0)*'Fixed Factors'!$I$14</f>
        <v>0</v>
      </c>
      <c r="AB5" s="294">
        <f>IFERROR((-1.5*V5^4+2.05*V5^3+0.16*V5^2+0.04*V5+0.025)*P5,0)*'Fixed Factors'!$I$15</f>
        <v>682.5</v>
      </c>
      <c r="AC5" s="291">
        <f>IFERROR((-1.5*(W5)^4+2.05*(W5)^3+0.16*(W5)^2+0.04*W5+0.025)*Q5,0)*'Fixed Factors'!$I$13</f>
        <v>0</v>
      </c>
      <c r="AD5" s="291">
        <f>IFERROR((-1.5*(X5)^4+2.05*(X5)^3+0.16*(X5)^2+0.04*X5+0.025)*R5,0)*'Fixed Factors'!$I$14</f>
        <v>0</v>
      </c>
      <c r="AE5" s="291">
        <f>IFERROR((-1.5*(Y5)^4+2.05*(Y5)^3+0.16*(Y5)^2+0.04*Y5+0.025)*S5,0)*'Fixed Factors'!$I$15</f>
        <v>682.5</v>
      </c>
      <c r="AF5" s="295">
        <f>H5/$AF$1*'Network Crash Rates'!$D$4+I5/$AF$1*'Network Crash Rates'!$D$5+J5/$AF$1*'Network Crash Rates'!$D$6</f>
        <v>1.7831923200000002E-2</v>
      </c>
      <c r="AG5" s="295">
        <f>H5/$AF$1*'Network Crash Rates'!$E$4+I5/$AF$1*'Network Crash Rates'!$E$5+J5/$AF$1*'Network Crash Rates'!$E$6</f>
        <v>0.80246635560000013</v>
      </c>
      <c r="AH5" s="295">
        <f>H5/$AF$1*'Network Crash Rates'!$F$4+I5/$AF$1*'Network Crash Rates'!$F$5+J5/$AF$1*'Network Crash Rates'!$F$6</f>
        <v>2.9067112620000004</v>
      </c>
      <c r="AI5" s="295">
        <f>K5/$AF$1*'Network Crash Rates'!$D$7+L5/$AF$1*'Network Crash Rates'!$D$8+M5/$AF$1*'Network Crash Rates'!$D$9</f>
        <v>1.7831923200000002E-2</v>
      </c>
      <c r="AJ5" s="295">
        <f>K5/$AF$1*'Network Crash Rates'!$E$7+L5/$AF$1*'Network Crash Rates'!$E$8+M5/$AF$1*'Network Crash Rates'!$E$9</f>
        <v>0.80246635560000013</v>
      </c>
      <c r="AK5" s="295">
        <f>K5/$AF$1*'Network Crash Rates'!$F$7+L5/$AF$1*'Network Crash Rates'!$F$8+M5/$AF$1*'Network Crash Rates'!$F$9</f>
        <v>2.9067112620000004</v>
      </c>
    </row>
    <row r="6" spans="1:37" x14ac:dyDescent="0.25">
      <c r="A6" s="223">
        <v>2019</v>
      </c>
      <c r="B6" s="219">
        <v>0</v>
      </c>
      <c r="C6" s="219">
        <v>0</v>
      </c>
      <c r="D6" s="219">
        <f>D5*(1+$D$32)</f>
        <v>238493.3691663527</v>
      </c>
      <c r="E6" s="219">
        <v>0</v>
      </c>
      <c r="F6" s="219">
        <v>0</v>
      </c>
      <c r="G6" s="296">
        <f>D6</f>
        <v>238493.3691663527</v>
      </c>
      <c r="H6" s="219">
        <v>0</v>
      </c>
      <c r="I6" s="219">
        <v>0</v>
      </c>
      <c r="J6" s="296">
        <f>J5*(1+$J$32)</f>
        <v>2337235.0178302568</v>
      </c>
      <c r="K6" s="219">
        <v>0</v>
      </c>
      <c r="L6" s="219">
        <v>0</v>
      </c>
      <c r="M6" s="219">
        <f t="shared" ref="M6:M11" si="0">J6</f>
        <v>2337235.0178302568</v>
      </c>
      <c r="N6" s="219">
        <v>0</v>
      </c>
      <c r="O6" s="219">
        <v>0</v>
      </c>
      <c r="P6" s="219">
        <f>P5*(1+$P$32)</f>
        <v>27824.226402741147</v>
      </c>
      <c r="Q6" s="219">
        <v>0</v>
      </c>
      <c r="R6" s="219">
        <v>0</v>
      </c>
      <c r="S6" s="219">
        <f t="shared" ref="S6:S11" si="1">P6</f>
        <v>27824.226402741147</v>
      </c>
      <c r="T6" s="297">
        <v>0</v>
      </c>
      <c r="U6" s="297">
        <v>0</v>
      </c>
      <c r="V6" s="297">
        <v>0</v>
      </c>
      <c r="W6" s="297">
        <v>0</v>
      </c>
      <c r="X6" s="297">
        <v>0</v>
      </c>
      <c r="Y6" s="297">
        <v>0</v>
      </c>
      <c r="Z6" s="103">
        <f>IFERROR((-1.5*T6^4+2.05*T6^3+0.16*T6^2+0.04*T6+0.025)*N6,0)*'Fixed Factors'!$I$13</f>
        <v>0</v>
      </c>
      <c r="AA6" s="103">
        <f>IFERROR((-1.5*U6^4+2.05*U6^3+0.16*U6^2+0.04*U6+0.025)*O6,0)*'Fixed Factors'!$I$14</f>
        <v>0</v>
      </c>
      <c r="AB6" s="102">
        <f>IFERROR((-1.5*V6^4+2.05*V6^3+0.16*V6^2+0.04*V6+0.025)*P6,0)*'Fixed Factors'!$I$15</f>
        <v>695.60566006852878</v>
      </c>
      <c r="AC6" s="103">
        <f>IFERROR((-1.5*(W6)^4+2.05*(W6)^3+0.16*(W6)^2+0.04*W6+0.025)*Q6,0)*'Fixed Factors'!$I$13</f>
        <v>0</v>
      </c>
      <c r="AD6" s="103">
        <f>IFERROR((-1.5*(X6)^4+2.05*(X6)^3+0.16*(X6)^2+0.04*X6+0.025)*R6,0)*'Fixed Factors'!$I$14</f>
        <v>0</v>
      </c>
      <c r="AE6" s="103">
        <f>IFERROR((-1.5*(Y6)^4+2.05*(Y6)^3+0.16*(Y6)^2+0.04*Y6+0.025)*S6,0)*'Fixed Factors'!$I$15</f>
        <v>695.60566006852878</v>
      </c>
      <c r="AF6" s="224">
        <f>H6/$AF$1*'Network Crash Rates'!$D$4+I6/$AF$1*'Network Crash Rates'!$D$5+J6/$AF$1*'Network Crash Rates'!$D$6</f>
        <v>1.8174339498648075E-2</v>
      </c>
      <c r="AG6" s="224">
        <f>H6/$AF$1*'Network Crash Rates'!$E$4+I6/$AF$1*'Network Crash Rates'!$E$5+J6/$AF$1*'Network Crash Rates'!$E$6</f>
        <v>0.81787566149439517</v>
      </c>
      <c r="AH6" s="224">
        <f>H6/$AF$1*'Network Crash Rates'!$F$4+I6/$AF$1*'Network Crash Rates'!$F$5+J6/$AF$1*'Network Crash Rates'!$F$6</f>
        <v>2.9625271883254745</v>
      </c>
      <c r="AI6" s="224">
        <f>K6/$AF$1*'Network Crash Rates'!$D$7+L6/$AF$1*'Network Crash Rates'!$D$8+M6/$AF$1*'Network Crash Rates'!$D$9</f>
        <v>1.8174339498648075E-2</v>
      </c>
      <c r="AJ6" s="225">
        <f>K6/$AF$1*'Network Crash Rates'!$E$7+L6/$AF$1*'Network Crash Rates'!$E$8+M6/$AF$1*'Network Crash Rates'!$E$9</f>
        <v>0.81787566149439517</v>
      </c>
      <c r="AK6" s="225">
        <f>K6/$AF$1*'Network Crash Rates'!$F$7+L6/$AF$1*'Network Crash Rates'!$F$8+M6/$AF$1*'Network Crash Rates'!$F$9</f>
        <v>2.9625271883254745</v>
      </c>
    </row>
    <row r="7" spans="1:37" x14ac:dyDescent="0.25">
      <c r="A7" s="223">
        <v>2020</v>
      </c>
      <c r="B7" s="219">
        <v>0</v>
      </c>
      <c r="C7" s="219">
        <v>0</v>
      </c>
      <c r="D7" s="219">
        <f t="shared" ref="D7:D31" si="2">D6*(1+$D$32)</f>
        <v>243073.02195007773</v>
      </c>
      <c r="E7" s="219">
        <v>0</v>
      </c>
      <c r="F7" s="219">
        <v>0</v>
      </c>
      <c r="G7" s="296">
        <f t="shared" ref="G7:G31" si="3">D7</f>
        <v>243073.02195007773</v>
      </c>
      <c r="H7" s="219">
        <v>0</v>
      </c>
      <c r="I7" s="219">
        <v>0</v>
      </c>
      <c r="J7" s="296">
        <f t="shared" ref="J7:J31" si="4">J6*(1+$J$32)</f>
        <v>2382115.615110762</v>
      </c>
      <c r="K7" s="219">
        <v>0</v>
      </c>
      <c r="L7" s="219">
        <v>0</v>
      </c>
      <c r="M7" s="219">
        <f t="shared" si="0"/>
        <v>2382115.615110762</v>
      </c>
      <c r="N7" s="219">
        <v>0</v>
      </c>
      <c r="O7" s="219">
        <v>0</v>
      </c>
      <c r="P7" s="219">
        <f t="shared" ref="P7:P31" si="5">P6*(1+$P$32)</f>
        <v>28358.519227509067</v>
      </c>
      <c r="Q7" s="219">
        <v>0</v>
      </c>
      <c r="R7" s="219">
        <v>0</v>
      </c>
      <c r="S7" s="219">
        <f t="shared" si="1"/>
        <v>28358.519227509067</v>
      </c>
      <c r="T7" s="297">
        <v>0</v>
      </c>
      <c r="U7" s="297">
        <v>0</v>
      </c>
      <c r="V7" s="297">
        <v>0</v>
      </c>
      <c r="W7" s="297">
        <v>0</v>
      </c>
      <c r="X7" s="297">
        <v>0</v>
      </c>
      <c r="Y7" s="297">
        <v>0</v>
      </c>
      <c r="Z7" s="103">
        <f>IFERROR((-1.5*T7^4+2.05*T7^3+0.16*T7^2+0.04*T7+0.025)*N7,0)*'Fixed Factors'!$I$13</f>
        <v>0</v>
      </c>
      <c r="AA7" s="103">
        <f>IFERROR((-1.5*U7^4+2.05*U7^3+0.16*U7^2+0.04*U7+0.025)*O7,0)*'Fixed Factors'!$I$14</f>
        <v>0</v>
      </c>
      <c r="AB7" s="102">
        <f>IFERROR((-1.5*V7^4+2.05*V7^3+0.16*V7^2+0.04*V7+0.025)*P7,0)*'Fixed Factors'!$I$15</f>
        <v>708.96298068772671</v>
      </c>
      <c r="AC7" s="103">
        <f>IFERROR((-1.5*(W7)^4+2.05*(W7)^3+0.16*(W7)^2+0.04*W7+0.025)*Q7,0)*'Fixed Factors'!$I$13</f>
        <v>0</v>
      </c>
      <c r="AD7" s="103">
        <f>IFERROR((-1.5*(X7)^4+2.05*(X7)^3+0.16*(X7)^2+0.04*X7+0.025)*R7,0)*'Fixed Factors'!$I$14</f>
        <v>0</v>
      </c>
      <c r="AE7" s="103">
        <f>IFERROR((-1.5*(Y7)^4+2.05*(Y7)^3+0.16*(Y7)^2+0.04*Y7+0.025)*S7,0)*'Fixed Factors'!$I$15</f>
        <v>708.96298068772671</v>
      </c>
      <c r="AF7" s="224">
        <f>H7/$AF$1*'Network Crash Rates'!$D$4+I7/$AF$1*'Network Crash Rates'!$D$5+J7/$AF$1*'Network Crash Rates'!$D$6</f>
        <v>1.8523331023101285E-2</v>
      </c>
      <c r="AG7" s="224">
        <f>H7/$AF$1*'Network Crash Rates'!$E$4+I7/$AF$1*'Network Crash Rates'!$E$5+J7/$AF$1*'Network Crash Rates'!$E$6</f>
        <v>0.83358086354255423</v>
      </c>
      <c r="AH7" s="224">
        <f>H7/$AF$1*'Network Crash Rates'!$F$4+I7/$AF$1*'Network Crash Rates'!$F$5+J7/$AF$1*'Network Crash Rates'!$F$6</f>
        <v>3.0194149161994197</v>
      </c>
      <c r="AI7" s="224">
        <f>K7/$AF$1*'Network Crash Rates'!$D$7+L7/$AF$1*'Network Crash Rates'!$D$8+M7/$AF$1*'Network Crash Rates'!$D$9</f>
        <v>1.8523331023101285E-2</v>
      </c>
      <c r="AJ7" s="225">
        <f>K7/$AF$1*'Network Crash Rates'!$E$7+L7/$AF$1*'Network Crash Rates'!$E$8+M7/$AF$1*'Network Crash Rates'!$E$9</f>
        <v>0.83358086354255423</v>
      </c>
      <c r="AK7" s="225">
        <f>K7/$AF$1*'Network Crash Rates'!$F$7+L7/$AF$1*'Network Crash Rates'!$F$8+M7/$AF$1*'Network Crash Rates'!$F$9</f>
        <v>3.0194149161994197</v>
      </c>
    </row>
    <row r="8" spans="1:37" x14ac:dyDescent="0.25">
      <c r="A8" s="223">
        <v>2021</v>
      </c>
      <c r="B8" s="219">
        <v>0</v>
      </c>
      <c r="C8" s="219">
        <v>0</v>
      </c>
      <c r="D8" s="219">
        <f t="shared" si="2"/>
        <v>247740.61520649929</v>
      </c>
      <c r="E8" s="219">
        <v>0</v>
      </c>
      <c r="F8" s="219">
        <v>0</v>
      </c>
      <c r="G8" s="296">
        <f t="shared" si="3"/>
        <v>247740.61520649929</v>
      </c>
      <c r="H8" s="219">
        <v>0</v>
      </c>
      <c r="I8" s="219">
        <v>0</v>
      </c>
      <c r="J8" s="296">
        <f t="shared" si="4"/>
        <v>2427858.0290236934</v>
      </c>
      <c r="K8" s="219">
        <v>0</v>
      </c>
      <c r="L8" s="219">
        <v>0</v>
      </c>
      <c r="M8" s="219">
        <f t="shared" si="0"/>
        <v>2427858.0290236934</v>
      </c>
      <c r="N8" s="219">
        <v>0</v>
      </c>
      <c r="O8" s="219">
        <v>0</v>
      </c>
      <c r="P8" s="219">
        <f t="shared" si="5"/>
        <v>28903.071774091582</v>
      </c>
      <c r="Q8" s="219">
        <v>0</v>
      </c>
      <c r="R8" s="219">
        <v>0</v>
      </c>
      <c r="S8" s="219">
        <f t="shared" si="1"/>
        <v>28903.071774091582</v>
      </c>
      <c r="T8" s="297">
        <v>0</v>
      </c>
      <c r="U8" s="297">
        <v>0</v>
      </c>
      <c r="V8" s="297">
        <v>0</v>
      </c>
      <c r="W8" s="297">
        <v>0</v>
      </c>
      <c r="X8" s="297">
        <v>0</v>
      </c>
      <c r="Y8" s="297">
        <v>0</v>
      </c>
      <c r="Z8" s="103">
        <f>IFERROR((-1.5*T8^4+2.05*T8^3+0.16*T8^2+0.04*T8+0.025)*N8,0)*'Fixed Factors'!$I$13</f>
        <v>0</v>
      </c>
      <c r="AA8" s="103">
        <f>IFERROR((-1.5*U8^4+2.05*U8^3+0.16*U8^2+0.04*U8+0.025)*O8,0)*'Fixed Factors'!$I$14</f>
        <v>0</v>
      </c>
      <c r="AB8" s="102">
        <f>IFERROR((-1.5*V8^4+2.05*V8^3+0.16*V8^2+0.04*V8+0.025)*P8,0)*'Fixed Factors'!$I$15</f>
        <v>722.57679435228965</v>
      </c>
      <c r="AC8" s="103">
        <f>IFERROR((-1.5*(W8)^4+2.05*(W8)^3+0.16*(W8)^2+0.04*W8+0.025)*Q8,0)*'Fixed Factors'!$I$13</f>
        <v>0</v>
      </c>
      <c r="AD8" s="103">
        <f>IFERROR((-1.5*(X8)^4+2.05*(X8)^3+0.16*(X8)^2+0.04*X8+0.025)*R8,0)*'Fixed Factors'!$I$14</f>
        <v>0</v>
      </c>
      <c r="AE8" s="103">
        <f>IFERROR((-1.5*(Y8)^4+2.05*(Y8)^3+0.16*(Y8)^2+0.04*Y8+0.025)*S8,0)*'Fixed Factors'!$I$15</f>
        <v>722.57679435228965</v>
      </c>
      <c r="AF8" s="224">
        <f>H8/$AF$1*'Network Crash Rates'!$D$4+I8/$AF$1*'Network Crash Rates'!$D$5+J8/$AF$1*'Network Crash Rates'!$D$6</f>
        <v>1.8879024033688237E-2</v>
      </c>
      <c r="AG8" s="224">
        <f>H8/$AF$1*'Network Crash Rates'!$E$4+I8/$AF$1*'Network Crash Rates'!$E$5+J8/$AF$1*'Network Crash Rates'!$E$6</f>
        <v>0.849587643670348</v>
      </c>
      <c r="AH8" s="224">
        <f>H8/$AF$1*'Network Crash Rates'!$F$4+I8/$AF$1*'Network Crash Rates'!$F$5+J8/$AF$1*'Network Crash Rates'!$F$6</f>
        <v>3.077395026818547</v>
      </c>
      <c r="AI8" s="224">
        <f>K8/$AF$1*'Network Crash Rates'!$D$7+L8/$AF$1*'Network Crash Rates'!$D$8+M8/$AF$1*'Network Crash Rates'!$D$9</f>
        <v>1.8879024033688237E-2</v>
      </c>
      <c r="AJ8" s="225">
        <f>K8/$AF$1*'Network Crash Rates'!$E$7+L8/$AF$1*'Network Crash Rates'!$E$8+M8/$AF$1*'Network Crash Rates'!$E$9</f>
        <v>0.849587643670348</v>
      </c>
      <c r="AK8" s="225">
        <f>K8/$AF$1*'Network Crash Rates'!$F$7+L8/$AF$1*'Network Crash Rates'!$F$8+M8/$AF$1*'Network Crash Rates'!$F$9</f>
        <v>3.077395026818547</v>
      </c>
    </row>
    <row r="9" spans="1:37" x14ac:dyDescent="0.25">
      <c r="A9" s="223">
        <v>2022</v>
      </c>
      <c r="B9" s="219">
        <v>0</v>
      </c>
      <c r="C9" s="219">
        <v>0</v>
      </c>
      <c r="D9" s="219">
        <f t="shared" si="2"/>
        <v>252497.83760659385</v>
      </c>
      <c r="E9" s="219">
        <v>0</v>
      </c>
      <c r="F9" s="219">
        <v>0</v>
      </c>
      <c r="G9" s="296">
        <f t="shared" si="3"/>
        <v>252497.83760659385</v>
      </c>
      <c r="H9" s="219">
        <v>0</v>
      </c>
      <c r="I9" s="219">
        <v>0</v>
      </c>
      <c r="J9" s="296">
        <f t="shared" si="4"/>
        <v>2474478.8085446204</v>
      </c>
      <c r="K9" s="219">
        <v>0</v>
      </c>
      <c r="L9" s="219">
        <v>0</v>
      </c>
      <c r="M9" s="219">
        <f t="shared" si="0"/>
        <v>2474478.8085446204</v>
      </c>
      <c r="N9" s="219">
        <v>0</v>
      </c>
      <c r="O9" s="219">
        <v>0</v>
      </c>
      <c r="P9" s="219">
        <f t="shared" si="5"/>
        <v>29458.081054102615</v>
      </c>
      <c r="Q9" s="219">
        <v>0</v>
      </c>
      <c r="R9" s="219">
        <v>0</v>
      </c>
      <c r="S9" s="219">
        <f t="shared" si="1"/>
        <v>29458.081054102615</v>
      </c>
      <c r="T9" s="297">
        <v>0</v>
      </c>
      <c r="U9" s="297">
        <v>0</v>
      </c>
      <c r="V9" s="297">
        <v>0</v>
      </c>
      <c r="W9" s="297">
        <v>0</v>
      </c>
      <c r="X9" s="297">
        <v>0</v>
      </c>
      <c r="Y9" s="297">
        <v>0</v>
      </c>
      <c r="Z9" s="103">
        <f>IFERROR((-1.5*T9^4+2.05*T9^3+0.16*T9^2+0.04*T9+0.025)*N9,0)*'Fixed Factors'!$I$13</f>
        <v>0</v>
      </c>
      <c r="AA9" s="103">
        <f>IFERROR((-1.5*U9^4+2.05*U9^3+0.16*U9^2+0.04*U9+0.025)*O9,0)*'Fixed Factors'!$I$14</f>
        <v>0</v>
      </c>
      <c r="AB9" s="102">
        <f>IFERROR((-1.5*V9^4+2.05*V9^3+0.16*V9^2+0.04*V9+0.025)*P9,0)*'Fixed Factors'!$I$15</f>
        <v>736.45202635256544</v>
      </c>
      <c r="AC9" s="103">
        <f>IFERROR((-1.5*(W9)^4+2.05*(W9)^3+0.16*(W9)^2+0.04*W9+0.025)*Q9,0)*'Fixed Factors'!$I$13</f>
        <v>0</v>
      </c>
      <c r="AD9" s="103">
        <f>IFERROR((-1.5*(X9)^4+2.05*(X9)^3+0.16*(X9)^2+0.04*X9+0.025)*R9,0)*'Fixed Factors'!$I$14</f>
        <v>0</v>
      </c>
      <c r="AE9" s="103">
        <f>IFERROR((-1.5*(Y9)^4+2.05*(Y9)^3+0.16*(Y9)^2+0.04*Y9+0.025)*S9,0)*'Fixed Factors'!$I$15</f>
        <v>736.45202635256544</v>
      </c>
      <c r="AF9" s="224">
        <f>H9/$AF$1*'Network Crash Rates'!$D$4+I9/$AF$1*'Network Crash Rates'!$D$5+J9/$AF$1*'Network Crash Rates'!$D$6</f>
        <v>1.9241547215242967E-2</v>
      </c>
      <c r="AG9" s="224">
        <f>H9/$AF$1*'Network Crash Rates'!$E$4+I9/$AF$1*'Network Crash Rates'!$E$5+J9/$AF$1*'Network Crash Rates'!$E$6</f>
        <v>0.86590179291044456</v>
      </c>
      <c r="AH9" s="224">
        <f>H9/$AF$1*'Network Crash Rates'!$F$4+I9/$AF$1*'Network Crash Rates'!$F$5+J9/$AF$1*'Network Crash Rates'!$F$6</f>
        <v>3.1364884965886053</v>
      </c>
      <c r="AI9" s="224">
        <f>K9/$AF$1*'Network Crash Rates'!$D$7+L9/$AF$1*'Network Crash Rates'!$D$8+M9/$AF$1*'Network Crash Rates'!$D$9</f>
        <v>1.9241547215242967E-2</v>
      </c>
      <c r="AJ9" s="225">
        <f>K9/$AF$1*'Network Crash Rates'!$E$7+L9/$AF$1*'Network Crash Rates'!$E$8+M9/$AF$1*'Network Crash Rates'!$E$9</f>
        <v>0.86590179291044456</v>
      </c>
      <c r="AK9" s="225">
        <f>K9/$AF$1*'Network Crash Rates'!$F$7+L9/$AF$1*'Network Crash Rates'!$F$8+M9/$AF$1*'Network Crash Rates'!$F$9</f>
        <v>3.1364884965886053</v>
      </c>
    </row>
    <row r="10" spans="1:37" x14ac:dyDescent="0.25">
      <c r="A10" s="223">
        <v>2023</v>
      </c>
      <c r="B10" s="219">
        <v>0</v>
      </c>
      <c r="C10" s="219">
        <v>0</v>
      </c>
      <c r="D10" s="219">
        <f t="shared" si="2"/>
        <v>257346.41024792803</v>
      </c>
      <c r="E10" s="219">
        <v>0</v>
      </c>
      <c r="F10" s="219">
        <v>0</v>
      </c>
      <c r="G10" s="296">
        <f t="shared" si="3"/>
        <v>257346.41024792803</v>
      </c>
      <c r="H10" s="219">
        <v>0</v>
      </c>
      <c r="I10" s="219">
        <v>0</v>
      </c>
      <c r="J10" s="296">
        <f t="shared" si="4"/>
        <v>2521994.8204296953</v>
      </c>
      <c r="K10" s="219">
        <v>0</v>
      </c>
      <c r="L10" s="219">
        <v>0</v>
      </c>
      <c r="M10" s="219">
        <f t="shared" si="0"/>
        <v>2521994.8204296953</v>
      </c>
      <c r="N10" s="219">
        <v>0</v>
      </c>
      <c r="O10" s="219">
        <v>0</v>
      </c>
      <c r="P10" s="219">
        <f t="shared" si="5"/>
        <v>30023.747862258268</v>
      </c>
      <c r="Q10" s="219">
        <v>0</v>
      </c>
      <c r="R10" s="219">
        <v>0</v>
      </c>
      <c r="S10" s="219">
        <f t="shared" si="1"/>
        <v>30023.747862258268</v>
      </c>
      <c r="T10" s="297">
        <v>0</v>
      </c>
      <c r="U10" s="297">
        <v>0</v>
      </c>
      <c r="V10" s="297">
        <v>0</v>
      </c>
      <c r="W10" s="297">
        <v>0</v>
      </c>
      <c r="X10" s="297">
        <v>0</v>
      </c>
      <c r="Y10" s="297">
        <v>0</v>
      </c>
      <c r="Z10" s="103">
        <f>IFERROR((-1.5*T10^4+2.05*T10^3+0.16*T10^2+0.04*T10+0.025)*N10,0)*'Fixed Factors'!$I$13</f>
        <v>0</v>
      </c>
      <c r="AA10" s="103">
        <f>IFERROR((-1.5*U10^4+2.05*U10^3+0.16*U10^2+0.04*U10+0.025)*O10,0)*'Fixed Factors'!$I$14</f>
        <v>0</v>
      </c>
      <c r="AB10" s="102">
        <f>IFERROR((-1.5*V10^4+2.05*V10^3+0.16*V10^2+0.04*V10+0.025)*P10,0)*'Fixed Factors'!$I$15</f>
        <v>750.59369655645673</v>
      </c>
      <c r="AC10" s="103">
        <f>IFERROR((-1.5*(W10)^4+2.05*(W10)^3+0.16*(W10)^2+0.04*W10+0.025)*Q10,0)*'Fixed Factors'!$I$13</f>
        <v>0</v>
      </c>
      <c r="AD10" s="103">
        <f>IFERROR((-1.5*(X10)^4+2.05*(X10)^3+0.16*(X10)^2+0.04*X10+0.025)*R10,0)*'Fixed Factors'!$I$14</f>
        <v>0</v>
      </c>
      <c r="AE10" s="103">
        <f>IFERROR((-1.5*(Y10)^4+2.05*(Y10)^3+0.16*(Y10)^2+0.04*Y10+0.025)*S10,0)*'Fixed Factors'!$I$15</f>
        <v>750.59369655645673</v>
      </c>
      <c r="AF10" s="224">
        <f>H10/$AF$1*'Network Crash Rates'!$D$4+I10/$AF$1*'Network Crash Rates'!$D$5+J10/$AF$1*'Network Crash Rates'!$D$6</f>
        <v>1.9611031723661309E-2</v>
      </c>
      <c r="AG10" s="224">
        <f>H10/$AF$1*'Network Crash Rates'!$E$4+I10/$AF$1*'Network Crash Rates'!$E$5+J10/$AF$1*'Network Crash Rates'!$E$6</f>
        <v>0.88252921349742453</v>
      </c>
      <c r="AH10" s="224">
        <f>H10/$AF$1*'Network Crash Rates'!$F$4+I10/$AF$1*'Network Crash Rates'!$F$5+J10/$AF$1*'Network Crash Rates'!$F$6</f>
        <v>3.1967167047133538</v>
      </c>
      <c r="AI10" s="224">
        <f>K10/$AF$1*'Network Crash Rates'!$D$7+L10/$AF$1*'Network Crash Rates'!$D$8+M10/$AF$1*'Network Crash Rates'!$D$9</f>
        <v>1.9611031723661309E-2</v>
      </c>
      <c r="AJ10" s="225">
        <f>K10/$AF$1*'Network Crash Rates'!$E$7+L10/$AF$1*'Network Crash Rates'!$E$8+M10/$AF$1*'Network Crash Rates'!$E$9</f>
        <v>0.88252921349742453</v>
      </c>
      <c r="AK10" s="225">
        <f>K10/$AF$1*'Network Crash Rates'!$F$7+L10/$AF$1*'Network Crash Rates'!$F$8+M10/$AF$1*'Network Crash Rates'!$F$9</f>
        <v>3.1967167047133538</v>
      </c>
    </row>
    <row r="11" spans="1:37" x14ac:dyDescent="0.25">
      <c r="A11" s="223">
        <v>2024</v>
      </c>
      <c r="B11" s="219">
        <v>0</v>
      </c>
      <c r="C11" s="219">
        <v>0</v>
      </c>
      <c r="D11" s="219">
        <f t="shared" si="2"/>
        <v>262288.08727732796</v>
      </c>
      <c r="E11" s="219">
        <v>0</v>
      </c>
      <c r="F11" s="219">
        <v>0</v>
      </c>
      <c r="G11" s="296">
        <f t="shared" si="3"/>
        <v>262288.08727732796</v>
      </c>
      <c r="H11" s="219">
        <v>0</v>
      </c>
      <c r="I11" s="219">
        <v>0</v>
      </c>
      <c r="J11" s="296">
        <f t="shared" si="4"/>
        <v>2570423.2553178146</v>
      </c>
      <c r="K11" s="219">
        <v>0</v>
      </c>
      <c r="L11" s="219">
        <v>0</v>
      </c>
      <c r="M11" s="219">
        <f t="shared" si="0"/>
        <v>2570423.2553178146</v>
      </c>
      <c r="N11" s="219">
        <v>0</v>
      </c>
      <c r="O11" s="219">
        <v>0</v>
      </c>
      <c r="P11" s="219">
        <f t="shared" si="5"/>
        <v>30600.276849021597</v>
      </c>
      <c r="Q11" s="219">
        <v>0</v>
      </c>
      <c r="R11" s="219">
        <v>0</v>
      </c>
      <c r="S11" s="219">
        <f t="shared" si="1"/>
        <v>30600.276849021597</v>
      </c>
      <c r="T11" s="297">
        <v>0</v>
      </c>
      <c r="U11" s="297">
        <v>0</v>
      </c>
      <c r="V11" s="297">
        <v>0</v>
      </c>
      <c r="W11" s="297">
        <v>0</v>
      </c>
      <c r="X11" s="297">
        <v>0</v>
      </c>
      <c r="Y11" s="297">
        <v>0</v>
      </c>
      <c r="Z11" s="103">
        <f>IFERROR((-1.5*T11^4+2.05*T11^3+0.16*T11^2+0.04*T11+0.025)*N11,0)*'Fixed Factors'!$I$13</f>
        <v>0</v>
      </c>
      <c r="AA11" s="103">
        <f>IFERROR((-1.5*U11^4+2.05*U11^3+0.16*U11^2+0.04*U11+0.025)*O11,0)*'Fixed Factors'!$I$14</f>
        <v>0</v>
      </c>
      <c r="AB11" s="102">
        <f>IFERROR((-1.5*V11^4+2.05*V11^3+0.16*V11^2+0.04*V11+0.025)*P11,0)*'Fixed Factors'!$I$15</f>
        <v>765.00692122553994</v>
      </c>
      <c r="AC11" s="103">
        <f>IFERROR((-1.5*(W11)^4+2.05*(W11)^3+0.16*(W11)^2+0.04*W11+0.025)*Q11,0)*'Fixed Factors'!$I$13</f>
        <v>0</v>
      </c>
      <c r="AD11" s="103">
        <f>IFERROR((-1.5*(X11)^4+2.05*(X11)^3+0.16*(X11)^2+0.04*X11+0.025)*R11,0)*'Fixed Factors'!$I$14</f>
        <v>0</v>
      </c>
      <c r="AE11" s="103">
        <f>IFERROR((-1.5*(Y11)^4+2.05*(Y11)^3+0.16*(Y11)^2+0.04*Y11+0.025)*S11,0)*'Fixed Factors'!$I$15</f>
        <v>765.00692122553994</v>
      </c>
      <c r="AF11" s="224">
        <f>H11/$AF$1*'Network Crash Rates'!$D$4+I11/$AF$1*'Network Crash Rates'!$D$5+J11/$AF$1*'Network Crash Rates'!$D$6</f>
        <v>1.9987611233351327E-2</v>
      </c>
      <c r="AG11" s="224">
        <f>H11/$AF$1*'Network Crash Rates'!$E$4+I11/$AF$1*'Network Crash Rates'!$E$5+J11/$AF$1*'Network Crash Rates'!$E$6</f>
        <v>0.89947592100312879</v>
      </c>
      <c r="AH11" s="224">
        <f>H11/$AF$1*'Network Crash Rates'!$F$4+I11/$AF$1*'Network Crash Rates'!$F$5+J11/$AF$1*'Network Crash Rates'!$F$6</f>
        <v>3.2581014409292663</v>
      </c>
      <c r="AI11" s="224">
        <f>K11/$AF$1*'Network Crash Rates'!$D$7+L11/$AF$1*'Network Crash Rates'!$D$8+M11/$AF$1*'Network Crash Rates'!$D$9</f>
        <v>1.9987611233351327E-2</v>
      </c>
      <c r="AJ11" s="225">
        <f>K11/$AF$1*'Network Crash Rates'!$E$7+L11/$AF$1*'Network Crash Rates'!$E$8+M11/$AF$1*'Network Crash Rates'!$E$9</f>
        <v>0.89947592100312879</v>
      </c>
      <c r="AK11" s="225">
        <f>K11/$AF$1*'Network Crash Rates'!$F$7+L11/$AF$1*'Network Crash Rates'!$F$8+M11/$AF$1*'Network Crash Rates'!$F$9</f>
        <v>3.2581014409292663</v>
      </c>
    </row>
    <row r="12" spans="1:37" x14ac:dyDescent="0.25">
      <c r="A12" s="203">
        <v>2025</v>
      </c>
      <c r="B12" s="219">
        <v>0</v>
      </c>
      <c r="C12" s="219">
        <v>0</v>
      </c>
      <c r="D12" s="219">
        <f t="shared" si="2"/>
        <v>267324.65652550559</v>
      </c>
      <c r="E12" s="219">
        <v>0</v>
      </c>
      <c r="F12" s="219">
        <v>0</v>
      </c>
      <c r="G12" s="296">
        <f t="shared" si="3"/>
        <v>267324.65652550559</v>
      </c>
      <c r="H12" s="219">
        <v>0</v>
      </c>
      <c r="I12" s="219">
        <v>0</v>
      </c>
      <c r="J12" s="296">
        <f t="shared" si="4"/>
        <v>2619781.6339499555</v>
      </c>
      <c r="K12" s="219">
        <v>0</v>
      </c>
      <c r="L12" s="219">
        <v>0</v>
      </c>
      <c r="M12" s="219">
        <v>0</v>
      </c>
      <c r="N12" s="219">
        <v>0</v>
      </c>
      <c r="O12" s="219">
        <v>0</v>
      </c>
      <c r="P12" s="219">
        <f t="shared" si="5"/>
        <v>31187.876594642323</v>
      </c>
      <c r="Q12" s="219">
        <v>0</v>
      </c>
      <c r="R12" s="219">
        <v>0</v>
      </c>
      <c r="S12" s="219">
        <v>0</v>
      </c>
      <c r="T12" s="297">
        <v>0</v>
      </c>
      <c r="U12" s="297">
        <v>0</v>
      </c>
      <c r="V12" s="297">
        <v>0</v>
      </c>
      <c r="W12" s="297">
        <v>0</v>
      </c>
      <c r="X12" s="297">
        <v>0</v>
      </c>
      <c r="Y12" s="297">
        <v>0</v>
      </c>
      <c r="Z12" s="103">
        <f>IFERROR((-1.5*T12^4+2.05*T12^3+0.16*T12^2+0.04*T12+0.025)*N12,0)*'Fixed Factors'!$I$13</f>
        <v>0</v>
      </c>
      <c r="AA12" s="103">
        <f>IFERROR((-1.5*U12^4+2.05*U12^3+0.16*U12^2+0.04*U12+0.025)*O12,0)*'Fixed Factors'!$I$14</f>
        <v>0</v>
      </c>
      <c r="AB12" s="102">
        <f>IFERROR((-1.5*V12^4+2.05*V12^3+0.16*V12^2+0.04*V12+0.025)*P12,0)*'Fixed Factors'!$I$15</f>
        <v>779.69691486605814</v>
      </c>
      <c r="AC12" s="103">
        <f>IFERROR((-1.5*(W12)^4+2.05*(W12)^3+0.16*(W12)^2+0.04*W12+0.025)*Q12,0)*'Fixed Factors'!$I$13</f>
        <v>0</v>
      </c>
      <c r="AD12" s="103">
        <f>IFERROR((-1.5*(X12)^4+2.05*(X12)^3+0.16*(X12)^2+0.04*X12+0.025)*R12,0)*'Fixed Factors'!$I$14</f>
        <v>0</v>
      </c>
      <c r="AE12" s="103">
        <f>IFERROR((-1.5*(Y12)^4+2.05*(Y12)^3+0.16*(Y12)^2+0.04*Y12+0.025)*S12,0)*'Fixed Factors'!$I$15</f>
        <v>0</v>
      </c>
      <c r="AF12" s="224">
        <f>H12/$AF$1*'Network Crash Rates'!$D$4+I12/$AF$1*'Network Crash Rates'!$D$5+J12/$AF$1*'Network Crash Rates'!$D$6</f>
        <v>2.0371421985594853E-2</v>
      </c>
      <c r="AG12" s="224">
        <f>H12/$AF$1*'Network Crash Rates'!$E$4+I12/$AF$1*'Network Crash Rates'!$E$5+J12/$AF$1*'Network Crash Rates'!$E$6</f>
        <v>0.91674804651300978</v>
      </c>
      <c r="AH12" s="224">
        <f>H12/$AF$1*'Network Crash Rates'!$F$4+I12/$AF$1*'Network Crash Rates'!$F$5+J12/$AF$1*'Network Crash Rates'!$F$6</f>
        <v>3.3206649133887569</v>
      </c>
      <c r="AI12" s="224">
        <f>K12/$AF$1*'Network Crash Rates'!$D$7+L12/$AF$1*'Network Crash Rates'!$D$8+M12/$AF$1*'Network Crash Rates'!$D$9</f>
        <v>0</v>
      </c>
      <c r="AJ12" s="225">
        <f>K12/$AF$1*'Network Crash Rates'!$E$7+L12/$AF$1*'Network Crash Rates'!$E$8+M12/$AF$1*'Network Crash Rates'!$E$9</f>
        <v>0</v>
      </c>
      <c r="AK12" s="225">
        <f>K12/$AF$1*'Network Crash Rates'!$F$7+L12/$AF$1*'Network Crash Rates'!$F$8+M12/$AF$1*'Network Crash Rates'!$F$9</f>
        <v>0</v>
      </c>
    </row>
    <row r="13" spans="1:37" x14ac:dyDescent="0.25">
      <c r="A13" s="203">
        <v>2026</v>
      </c>
      <c r="B13" s="219">
        <v>0</v>
      </c>
      <c r="C13" s="219">
        <v>0</v>
      </c>
      <c r="D13" s="219">
        <f t="shared" si="2"/>
        <v>272457.94015387108</v>
      </c>
      <c r="E13" s="219">
        <v>0</v>
      </c>
      <c r="F13" s="219">
        <v>0</v>
      </c>
      <c r="G13" s="296">
        <f t="shared" si="3"/>
        <v>272457.94015387108</v>
      </c>
      <c r="H13" s="219">
        <v>0</v>
      </c>
      <c r="I13" s="219">
        <v>0</v>
      </c>
      <c r="J13" s="296">
        <f t="shared" si="4"/>
        <v>2670087.8135079374</v>
      </c>
      <c r="K13" s="219">
        <v>0</v>
      </c>
      <c r="L13" s="219">
        <v>0</v>
      </c>
      <c r="M13" s="219">
        <v>0</v>
      </c>
      <c r="N13" s="219">
        <v>0</v>
      </c>
      <c r="O13" s="219">
        <v>0</v>
      </c>
      <c r="P13" s="219">
        <f t="shared" si="5"/>
        <v>31786.759684618301</v>
      </c>
      <c r="Q13" s="219">
        <v>0</v>
      </c>
      <c r="R13" s="219">
        <v>0</v>
      </c>
      <c r="S13" s="219">
        <v>0</v>
      </c>
      <c r="T13" s="297">
        <v>0</v>
      </c>
      <c r="U13" s="297">
        <v>0</v>
      </c>
      <c r="V13" s="297">
        <v>0</v>
      </c>
      <c r="W13" s="297">
        <v>0</v>
      </c>
      <c r="X13" s="297">
        <v>0</v>
      </c>
      <c r="Y13" s="297">
        <v>0</v>
      </c>
      <c r="Z13" s="103">
        <f>IFERROR((-1.5*T13^4+2.05*T13^3+0.16*T13^2+0.04*T13+0.025)*N13,0)*'Fixed Factors'!$I$13</f>
        <v>0</v>
      </c>
      <c r="AA13" s="103">
        <f>IFERROR((-1.5*U13^4+2.05*U13^3+0.16*U13^2+0.04*U13+0.025)*O13,0)*'Fixed Factors'!$I$14</f>
        <v>0</v>
      </c>
      <c r="AB13" s="102">
        <f>IFERROR((-1.5*V13^4+2.05*V13^3+0.16*V13^2+0.04*V13+0.025)*P13,0)*'Fixed Factors'!$I$15</f>
        <v>794.66899211545751</v>
      </c>
      <c r="AC13" s="103">
        <f>IFERROR((-1.5*(W13)^4+2.05*(W13)^3+0.16*(W13)^2+0.04*W13+0.025)*Q13,0)*'Fixed Factors'!$I$13</f>
        <v>0</v>
      </c>
      <c r="AD13" s="103">
        <f>IFERROR((-1.5*(X13)^4+2.05*(X13)^3+0.16*(X13)^2+0.04*X13+0.025)*R13,0)*'Fixed Factors'!$I$14</f>
        <v>0</v>
      </c>
      <c r="AE13" s="103">
        <f>IFERROR((-1.5*(Y13)^4+2.05*(Y13)^3+0.16*(Y13)^2+0.04*Y13+0.025)*S13,0)*'Fixed Factors'!$I$15</f>
        <v>0</v>
      </c>
      <c r="AF13" s="224">
        <f>H13/$AF$1*'Network Crash Rates'!$D$4+I13/$AF$1*'Network Crash Rates'!$D$5+J13/$AF$1*'Network Crash Rates'!$D$6</f>
        <v>2.0762602837837717E-2</v>
      </c>
      <c r="AG13" s="224">
        <f>H13/$AF$1*'Network Crash Rates'!$E$4+I13/$AF$1*'Network Crash Rates'!$E$5+J13/$AF$1*'Network Crash Rates'!$E$6</f>
        <v>0.93435183884427297</v>
      </c>
      <c r="AH13" s="224">
        <f>H13/$AF$1*'Network Crash Rates'!$F$4+I13/$AF$1*'Network Crash Rates'!$F$5+J13/$AF$1*'Network Crash Rates'!$F$6</f>
        <v>3.3844297566947832</v>
      </c>
      <c r="AI13" s="224">
        <f>K13/$AF$1*'Network Crash Rates'!$D$7+L13/$AF$1*'Network Crash Rates'!$D$8+M13/$AF$1*'Network Crash Rates'!$D$9</f>
        <v>0</v>
      </c>
      <c r="AJ13" s="225">
        <f>K13/$AF$1*'Network Crash Rates'!$E$7+L13/$AF$1*'Network Crash Rates'!$E$8+M13/$AF$1*'Network Crash Rates'!$E$9</f>
        <v>0</v>
      </c>
      <c r="AK13" s="225">
        <f>K13/$AF$1*'Network Crash Rates'!$F$7+L13/$AF$1*'Network Crash Rates'!$F$8+M13/$AF$1*'Network Crash Rates'!$F$9</f>
        <v>0</v>
      </c>
    </row>
    <row r="14" spans="1:37" x14ac:dyDescent="0.25">
      <c r="A14" s="203">
        <v>2027</v>
      </c>
      <c r="B14" s="219">
        <v>0</v>
      </c>
      <c r="C14" s="219">
        <v>0</v>
      </c>
      <c r="D14" s="219">
        <f t="shared" si="2"/>
        <v>277689.79531376582</v>
      </c>
      <c r="E14" s="219">
        <v>0</v>
      </c>
      <c r="F14" s="219">
        <v>0</v>
      </c>
      <c r="G14" s="296">
        <f t="shared" si="3"/>
        <v>277689.79531376582</v>
      </c>
      <c r="H14" s="219">
        <v>0</v>
      </c>
      <c r="I14" s="219">
        <v>0</v>
      </c>
      <c r="J14" s="296">
        <f t="shared" si="4"/>
        <v>2721359.9940749058</v>
      </c>
      <c r="K14" s="219">
        <v>0</v>
      </c>
      <c r="L14" s="219">
        <v>0</v>
      </c>
      <c r="M14" s="219">
        <v>0</v>
      </c>
      <c r="N14" s="219">
        <v>0</v>
      </c>
      <c r="O14" s="219">
        <v>0</v>
      </c>
      <c r="P14" s="219">
        <f t="shared" si="5"/>
        <v>32397.142786606022</v>
      </c>
      <c r="Q14" s="219">
        <v>0</v>
      </c>
      <c r="R14" s="219">
        <v>0</v>
      </c>
      <c r="S14" s="219">
        <v>0</v>
      </c>
      <c r="T14" s="297">
        <v>0</v>
      </c>
      <c r="U14" s="297">
        <v>0</v>
      </c>
      <c r="V14" s="297">
        <v>0</v>
      </c>
      <c r="W14" s="297">
        <v>0</v>
      </c>
      <c r="X14" s="297">
        <v>0</v>
      </c>
      <c r="Y14" s="297">
        <v>0</v>
      </c>
      <c r="Z14" s="103">
        <f>IFERROR((-1.5*T14^4+2.05*T14^3+0.16*T14^2+0.04*T14+0.025)*N14,0)*'Fixed Factors'!$I$13</f>
        <v>0</v>
      </c>
      <c r="AA14" s="103">
        <f>IFERROR((-1.5*U14^4+2.05*U14^3+0.16*U14^2+0.04*U14+0.025)*O14,0)*'Fixed Factors'!$I$14</f>
        <v>0</v>
      </c>
      <c r="AB14" s="102">
        <f>IFERROR((-1.5*V14^4+2.05*V14^3+0.16*V14^2+0.04*V14+0.025)*P14,0)*'Fixed Factors'!$I$15</f>
        <v>809.92856966515058</v>
      </c>
      <c r="AC14" s="103">
        <f>IFERROR((-1.5*(W14)^4+2.05*(W14)^3+0.16*(W14)^2+0.04*W14+0.025)*Q14,0)*'Fixed Factors'!$I$13</f>
        <v>0</v>
      </c>
      <c r="AD14" s="103">
        <f>IFERROR((-1.5*(X14)^4+2.05*(X14)^3+0.16*(X14)^2+0.04*X14+0.025)*R14,0)*'Fixed Factors'!$I$14</f>
        <v>0</v>
      </c>
      <c r="AE14" s="103">
        <f>IFERROR((-1.5*(Y14)^4+2.05*(Y14)^3+0.16*(Y14)^2+0.04*Y14+0.025)*S14,0)*'Fixed Factors'!$I$15</f>
        <v>0</v>
      </c>
      <c r="AF14" s="224">
        <f>H14/$AF$1*'Network Crash Rates'!$D$4+I14/$AF$1*'Network Crash Rates'!$D$5+J14/$AF$1*'Network Crash Rates'!$D$6</f>
        <v>2.1161295313926465E-2</v>
      </c>
      <c r="AG14" s="224">
        <f>H14/$AF$1*'Network Crash Rates'!$E$4+I14/$AF$1*'Network Crash Rates'!$E$5+J14/$AF$1*'Network Crash Rates'!$E$6</f>
        <v>0.95229366680661387</v>
      </c>
      <c r="AH14" s="224">
        <f>H14/$AF$1*'Network Crash Rates'!$F$4+I14/$AF$1*'Network Crash Rates'!$F$5+J14/$AF$1*'Network Crash Rates'!$F$6</f>
        <v>3.4494190400897358</v>
      </c>
      <c r="AI14" s="224">
        <f>K14/$AF$1*'Network Crash Rates'!$D$7+L14/$AF$1*'Network Crash Rates'!$D$8+M14/$AF$1*'Network Crash Rates'!$D$9</f>
        <v>0</v>
      </c>
      <c r="AJ14" s="225">
        <f>K14/$AF$1*'Network Crash Rates'!$E$7+L14/$AF$1*'Network Crash Rates'!$E$8+M14/$AF$1*'Network Crash Rates'!$E$9</f>
        <v>0</v>
      </c>
      <c r="AK14" s="225">
        <f>K14/$AF$1*'Network Crash Rates'!$F$7+L14/$AF$1*'Network Crash Rates'!$F$8+M14/$AF$1*'Network Crash Rates'!$F$9</f>
        <v>0</v>
      </c>
    </row>
    <row r="15" spans="1:37" x14ac:dyDescent="0.25">
      <c r="A15" s="203">
        <v>2028</v>
      </c>
      <c r="B15" s="219">
        <v>0</v>
      </c>
      <c r="C15" s="219">
        <v>0</v>
      </c>
      <c r="D15" s="219">
        <f t="shared" si="2"/>
        <v>283022.11481835414</v>
      </c>
      <c r="E15" s="219">
        <v>0</v>
      </c>
      <c r="F15" s="219">
        <v>0</v>
      </c>
      <c r="G15" s="296">
        <f t="shared" si="3"/>
        <v>283022.11481835414</v>
      </c>
      <c r="H15" s="219">
        <v>0</v>
      </c>
      <c r="I15" s="219">
        <v>0</v>
      </c>
      <c r="J15" s="296">
        <f t="shared" si="4"/>
        <v>2773616.7252198714</v>
      </c>
      <c r="K15" s="219">
        <v>0</v>
      </c>
      <c r="L15" s="219">
        <v>0</v>
      </c>
      <c r="M15" s="219">
        <v>0</v>
      </c>
      <c r="N15" s="219">
        <v>0</v>
      </c>
      <c r="O15" s="219">
        <v>0</v>
      </c>
      <c r="P15" s="219">
        <f t="shared" si="5"/>
        <v>33019.246728807993</v>
      </c>
      <c r="Q15" s="219">
        <v>0</v>
      </c>
      <c r="R15" s="219">
        <v>0</v>
      </c>
      <c r="S15" s="219">
        <v>0</v>
      </c>
      <c r="T15" s="297">
        <v>0</v>
      </c>
      <c r="U15" s="297">
        <v>0</v>
      </c>
      <c r="V15" s="297">
        <v>0</v>
      </c>
      <c r="W15" s="297">
        <v>0</v>
      </c>
      <c r="X15" s="297">
        <v>0</v>
      </c>
      <c r="Y15" s="297">
        <v>0</v>
      </c>
      <c r="Z15" s="103">
        <f>IFERROR((-1.5*T15^4+2.05*T15^3+0.16*T15^2+0.04*T15+0.025)*N15,0)*'Fixed Factors'!$I$13</f>
        <v>0</v>
      </c>
      <c r="AA15" s="103">
        <f>IFERROR((-1.5*U15^4+2.05*U15^3+0.16*U15^2+0.04*U15+0.025)*O15,0)*'Fixed Factors'!$I$14</f>
        <v>0</v>
      </c>
      <c r="AB15" s="102">
        <f>IFERROR((-1.5*V15^4+2.05*V15^3+0.16*V15^2+0.04*V15+0.025)*P15,0)*'Fixed Factors'!$I$15</f>
        <v>825.48116822019983</v>
      </c>
      <c r="AC15" s="103">
        <f>IFERROR((-1.5*(W15)^4+2.05*(W15)^3+0.16*(W15)^2+0.04*W15+0.025)*Q15,0)*'Fixed Factors'!$I$13</f>
        <v>0</v>
      </c>
      <c r="AD15" s="103">
        <f>IFERROR((-1.5*(X15)^4+2.05*(X15)^3+0.16*(X15)^2+0.04*X15+0.025)*R15,0)*'Fixed Factors'!$I$14</f>
        <v>0</v>
      </c>
      <c r="AE15" s="103">
        <f>IFERROR((-1.5*(Y15)^4+2.05*(Y15)^3+0.16*(Y15)^2+0.04*Y15+0.025)*S15,0)*'Fixed Factors'!$I$15</f>
        <v>0</v>
      </c>
      <c r="AF15" s="224">
        <f>H15/$AF$1*'Network Crash Rates'!$D$4+I15/$AF$1*'Network Crash Rates'!$D$5+J15/$AF$1*'Network Crash Rates'!$D$6</f>
        <v>2.1567643655309717E-2</v>
      </c>
      <c r="AG15" s="224">
        <f>H15/$AF$1*'Network Crash Rates'!$E$4+I15/$AF$1*'Network Crash Rates'!$E$5+J15/$AF$1*'Network Crash Rates'!$E$6</f>
        <v>0.97058002150636513</v>
      </c>
      <c r="AH15" s="224">
        <f>H15/$AF$1*'Network Crash Rates'!$F$4+I15/$AF$1*'Network Crash Rates'!$F$5+J15/$AF$1*'Network Crash Rates'!$F$6</f>
        <v>3.5156562758015695</v>
      </c>
      <c r="AI15" s="224">
        <f>K15/$AF$1*'Network Crash Rates'!$D$7+L15/$AF$1*'Network Crash Rates'!$D$8+M15/$AF$1*'Network Crash Rates'!$D$9</f>
        <v>0</v>
      </c>
      <c r="AJ15" s="225">
        <f>K15/$AF$1*'Network Crash Rates'!$E$7+L15/$AF$1*'Network Crash Rates'!$E$8+M15/$AF$1*'Network Crash Rates'!$E$9</f>
        <v>0</v>
      </c>
      <c r="AK15" s="225">
        <f>K15/$AF$1*'Network Crash Rates'!$F$7+L15/$AF$1*'Network Crash Rates'!$F$8+M15/$AF$1*'Network Crash Rates'!$F$9</f>
        <v>0</v>
      </c>
    </row>
    <row r="16" spans="1:37" x14ac:dyDescent="0.25">
      <c r="A16" s="203">
        <v>2029</v>
      </c>
      <c r="B16" s="219">
        <v>0</v>
      </c>
      <c r="C16" s="219">
        <v>0</v>
      </c>
      <c r="D16" s="219">
        <f t="shared" si="2"/>
        <v>288456.82782741706</v>
      </c>
      <c r="E16" s="219">
        <v>0</v>
      </c>
      <c r="F16" s="219">
        <v>0</v>
      </c>
      <c r="G16" s="296">
        <f t="shared" si="3"/>
        <v>288456.82782741706</v>
      </c>
      <c r="H16" s="219">
        <v>0</v>
      </c>
      <c r="I16" s="219">
        <v>0</v>
      </c>
      <c r="J16" s="296">
        <f t="shared" si="4"/>
        <v>2826876.9127086881</v>
      </c>
      <c r="K16" s="219">
        <v>0</v>
      </c>
      <c r="L16" s="219">
        <v>0</v>
      </c>
      <c r="M16" s="219">
        <v>0</v>
      </c>
      <c r="N16" s="219">
        <v>0</v>
      </c>
      <c r="O16" s="219">
        <v>0</v>
      </c>
      <c r="P16" s="219">
        <f t="shared" si="5"/>
        <v>33653.296579865331</v>
      </c>
      <c r="Q16" s="219">
        <v>0</v>
      </c>
      <c r="R16" s="219">
        <v>0</v>
      </c>
      <c r="S16" s="219">
        <v>0</v>
      </c>
      <c r="T16" s="297">
        <v>0</v>
      </c>
      <c r="U16" s="297">
        <v>0</v>
      </c>
      <c r="V16" s="297">
        <v>0</v>
      </c>
      <c r="W16" s="297">
        <v>0</v>
      </c>
      <c r="X16" s="297">
        <v>0</v>
      </c>
      <c r="Y16" s="297">
        <v>0</v>
      </c>
      <c r="Z16" s="103">
        <f>IFERROR((-1.5*T16^4+2.05*T16^3+0.16*T16^2+0.04*T16+0.025)*N16,0)*'Fixed Factors'!$I$13</f>
        <v>0</v>
      </c>
      <c r="AA16" s="103">
        <f>IFERROR((-1.5*U16^4+2.05*U16^3+0.16*U16^2+0.04*U16+0.025)*O16,0)*'Fixed Factors'!$I$14</f>
        <v>0</v>
      </c>
      <c r="AB16" s="102">
        <f>IFERROR((-1.5*V16^4+2.05*V16^3+0.16*V16^2+0.04*V16+0.025)*P16,0)*'Fixed Factors'!$I$15</f>
        <v>841.33241449663331</v>
      </c>
      <c r="AC16" s="103">
        <f>IFERROR((-1.5*(W16)^4+2.05*(W16)^3+0.16*(W16)^2+0.04*W16+0.025)*Q16,0)*'Fixed Factors'!$I$13</f>
        <v>0</v>
      </c>
      <c r="AD16" s="103">
        <f>IFERROR((-1.5*(X16)^4+2.05*(X16)^3+0.16*(X16)^2+0.04*X16+0.025)*R16,0)*'Fixed Factors'!$I$14</f>
        <v>0</v>
      </c>
      <c r="AE16" s="103">
        <f>IFERROR((-1.5*(Y16)^4+2.05*(Y16)^3+0.16*(Y16)^2+0.04*Y16+0.025)*S16,0)*'Fixed Factors'!$I$15</f>
        <v>0</v>
      </c>
      <c r="AF16" s="224">
        <f>H16/$AF$1*'Network Crash Rates'!$D$4+I16/$AF$1*'Network Crash Rates'!$D$5+J16/$AF$1*'Network Crash Rates'!$D$6</f>
        <v>2.1981794873222757E-2</v>
      </c>
      <c r="AG16" s="224">
        <f>H16/$AF$1*'Network Crash Rates'!$E$4+I16/$AF$1*'Network Crash Rates'!$E$5+J16/$AF$1*'Network Crash Rates'!$E$6</f>
        <v>0.98921751869488928</v>
      </c>
      <c r="AH16" s="224">
        <f>H16/$AF$1*'Network Crash Rates'!$F$4+I16/$AF$1*'Network Crash Rates'!$F$5+J16/$AF$1*'Network Crash Rates'!$F$6</f>
        <v>3.5831654275502069</v>
      </c>
      <c r="AI16" s="224">
        <f>K16/$AF$1*'Network Crash Rates'!$D$7+L16/$AF$1*'Network Crash Rates'!$D$8+M16/$AF$1*'Network Crash Rates'!$D$9</f>
        <v>0</v>
      </c>
      <c r="AJ16" s="225">
        <f>K16/$AF$1*'Network Crash Rates'!$E$7+L16/$AF$1*'Network Crash Rates'!$E$8+M16/$AF$1*'Network Crash Rates'!$E$9</f>
        <v>0</v>
      </c>
      <c r="AK16" s="225">
        <f>K16/$AF$1*'Network Crash Rates'!$F$7+L16/$AF$1*'Network Crash Rates'!$F$8+M16/$AF$1*'Network Crash Rates'!$F$9</f>
        <v>0</v>
      </c>
    </row>
    <row r="17" spans="1:61" x14ac:dyDescent="0.25">
      <c r="A17" s="203">
        <v>2030</v>
      </c>
      <c r="B17" s="219">
        <v>0</v>
      </c>
      <c r="C17" s="219">
        <v>0</v>
      </c>
      <c r="D17" s="219">
        <f t="shared" si="2"/>
        <v>293995.90054529579</v>
      </c>
      <c r="E17" s="219">
        <v>0</v>
      </c>
      <c r="F17" s="219">
        <v>0</v>
      </c>
      <c r="G17" s="296">
        <f t="shared" si="3"/>
        <v>293995.90054529579</v>
      </c>
      <c r="H17" s="219">
        <v>0</v>
      </c>
      <c r="I17" s="219">
        <v>0</v>
      </c>
      <c r="J17" s="296">
        <f t="shared" si="4"/>
        <v>2881159.8253438994</v>
      </c>
      <c r="K17" s="219">
        <v>0</v>
      </c>
      <c r="L17" s="219">
        <v>0</v>
      </c>
      <c r="M17" s="219">
        <v>0</v>
      </c>
      <c r="N17" s="219">
        <v>0</v>
      </c>
      <c r="O17" s="219">
        <v>0</v>
      </c>
      <c r="P17" s="219">
        <f t="shared" si="5"/>
        <v>34299.521730284512</v>
      </c>
      <c r="Q17" s="219">
        <v>0</v>
      </c>
      <c r="R17" s="219">
        <v>0</v>
      </c>
      <c r="S17" s="219">
        <v>0</v>
      </c>
      <c r="T17" s="297">
        <v>0</v>
      </c>
      <c r="U17" s="297">
        <v>0</v>
      </c>
      <c r="V17" s="297">
        <v>0</v>
      </c>
      <c r="W17" s="297">
        <v>0</v>
      </c>
      <c r="X17" s="297">
        <v>0</v>
      </c>
      <c r="Y17" s="297">
        <v>0</v>
      </c>
      <c r="Z17" s="103">
        <f>IFERROR((-1.5*T17^4+2.05*T17^3+0.16*T17^2+0.04*T17+0.025)*N17,0)*'Fixed Factors'!$I$13</f>
        <v>0</v>
      </c>
      <c r="AA17" s="103">
        <f>IFERROR((-1.5*U17^4+2.05*U17^3+0.16*U17^2+0.04*U17+0.025)*O17,0)*'Fixed Factors'!$I$14</f>
        <v>0</v>
      </c>
      <c r="AB17" s="102">
        <f>IFERROR((-1.5*V17^4+2.05*V17^3+0.16*V17^2+0.04*V17+0.025)*P17,0)*'Fixed Factors'!$I$15</f>
        <v>857.48804325711285</v>
      </c>
      <c r="AC17" s="103">
        <f>IFERROR((-1.5*(W17)^4+2.05*(W17)^3+0.16*(W17)^2+0.04*W17+0.025)*Q17,0)*'Fixed Factors'!$I$13</f>
        <v>0</v>
      </c>
      <c r="AD17" s="103">
        <f>IFERROR((-1.5*(X17)^4+2.05*(X17)^3+0.16*(X17)^2+0.04*X17+0.025)*R17,0)*'Fixed Factors'!$I$14</f>
        <v>0</v>
      </c>
      <c r="AE17" s="103">
        <f>IFERROR((-1.5*(Y17)^4+2.05*(Y17)^3+0.16*(Y17)^2+0.04*Y17+0.025)*S17,0)*'Fixed Factors'!$I$15</f>
        <v>0</v>
      </c>
      <c r="AF17" s="224">
        <f>H17/$AF$1*'Network Crash Rates'!$D$4+I17/$AF$1*'Network Crash Rates'!$D$5+J17/$AF$1*'Network Crash Rates'!$D$6</f>
        <v>2.2403898801874159E-2</v>
      </c>
      <c r="AG17" s="224">
        <f>H17/$AF$1*'Network Crash Rates'!$E$4+I17/$AF$1*'Network Crash Rates'!$E$5+J17/$AF$1*'Network Crash Rates'!$E$6</f>
        <v>1.0082129011620666</v>
      </c>
      <c r="AH17" s="224">
        <f>H17/$AF$1*'Network Crash Rates'!$F$4+I17/$AF$1*'Network Crash Rates'!$F$5+J17/$AF$1*'Network Crash Rates'!$F$6</f>
        <v>3.6519709192172796</v>
      </c>
      <c r="AI17" s="224">
        <f>K17/$AF$1*'Network Crash Rates'!$D$7+L17/$AF$1*'Network Crash Rates'!$D$8+M17/$AF$1*'Network Crash Rates'!$D$9</f>
        <v>0</v>
      </c>
      <c r="AJ17" s="225">
        <f>K17/$AF$1*'Network Crash Rates'!$E$7+L17/$AF$1*'Network Crash Rates'!$E$8+M17/$AF$1*'Network Crash Rates'!$E$9</f>
        <v>0</v>
      </c>
      <c r="AK17" s="225">
        <f>K17/$AF$1*'Network Crash Rates'!$F$7+L17/$AF$1*'Network Crash Rates'!$F$8+M17/$AF$1*'Network Crash Rates'!$F$9</f>
        <v>0</v>
      </c>
    </row>
    <row r="18" spans="1:61" x14ac:dyDescent="0.25">
      <c r="A18" s="203">
        <v>2031</v>
      </c>
      <c r="B18" s="219">
        <v>0</v>
      </c>
      <c r="C18" s="219">
        <v>0</v>
      </c>
      <c r="D18" s="219">
        <f t="shared" si="2"/>
        <v>299641.33693223732</v>
      </c>
      <c r="E18" s="219">
        <v>0</v>
      </c>
      <c r="F18" s="219">
        <v>0</v>
      </c>
      <c r="G18" s="296">
        <f t="shared" si="3"/>
        <v>299641.33693223732</v>
      </c>
      <c r="H18" s="219">
        <v>0</v>
      </c>
      <c r="I18" s="219">
        <v>0</v>
      </c>
      <c r="J18" s="296">
        <f t="shared" si="4"/>
        <v>2936485.1019359268</v>
      </c>
      <c r="K18" s="219">
        <v>0</v>
      </c>
      <c r="L18" s="219">
        <v>0</v>
      </c>
      <c r="M18" s="219">
        <v>0</v>
      </c>
      <c r="N18" s="219">
        <v>0</v>
      </c>
      <c r="O18" s="219">
        <v>0</v>
      </c>
      <c r="P18" s="219">
        <f t="shared" si="5"/>
        <v>34958.15597542769</v>
      </c>
      <c r="Q18" s="219">
        <v>0</v>
      </c>
      <c r="R18" s="219">
        <v>0</v>
      </c>
      <c r="S18" s="219">
        <v>0</v>
      </c>
      <c r="T18" s="297">
        <v>0</v>
      </c>
      <c r="U18" s="297">
        <v>0</v>
      </c>
      <c r="V18" s="297">
        <v>0</v>
      </c>
      <c r="W18" s="297">
        <v>0</v>
      </c>
      <c r="X18" s="297">
        <v>0</v>
      </c>
      <c r="Y18" s="297">
        <v>0</v>
      </c>
      <c r="Z18" s="103">
        <f>IFERROR((-1.5*T18^4+2.05*T18^3+0.16*T18^2+0.04*T18+0.025)*N18,0)*'Fixed Factors'!$I$13</f>
        <v>0</v>
      </c>
      <c r="AA18" s="103">
        <f>IFERROR((-1.5*U18^4+2.05*U18^3+0.16*U18^2+0.04*U18+0.025)*O18,0)*'Fixed Factors'!$I$14</f>
        <v>0</v>
      </c>
      <c r="AB18" s="102">
        <f>IFERROR((-1.5*V18^4+2.05*V18^3+0.16*V18^2+0.04*V18+0.025)*P18,0)*'Fixed Factors'!$I$15</f>
        <v>873.95389938569224</v>
      </c>
      <c r="AC18" s="103">
        <f>IFERROR((-1.5*(W18)^4+2.05*(W18)^3+0.16*(W18)^2+0.04*W18+0.025)*Q18,0)*'Fixed Factors'!$I$13</f>
        <v>0</v>
      </c>
      <c r="AD18" s="103">
        <f>IFERROR((-1.5*(X18)^4+2.05*(X18)^3+0.16*(X18)^2+0.04*X18+0.025)*R18,0)*'Fixed Factors'!$I$14</f>
        <v>0</v>
      </c>
      <c r="AE18" s="103">
        <f>IFERROR((-1.5*(Y18)^4+2.05*(Y18)^3+0.16*(Y18)^2+0.04*Y18+0.025)*S18,0)*'Fixed Factors'!$I$15</f>
        <v>0</v>
      </c>
      <c r="AF18" s="224">
        <f>H18/$AF$1*'Network Crash Rates'!$D$4+I18/$AF$1*'Network Crash Rates'!$D$5+J18/$AF$1*'Network Crash Rates'!$D$6</f>
        <v>2.2834108152653767E-2</v>
      </c>
      <c r="AG18" s="224">
        <f>H18/$AF$1*'Network Crash Rates'!$E$4+I18/$AF$1*'Network Crash Rates'!$E$5+J18/$AF$1*'Network Crash Rates'!$E$6</f>
        <v>1.0275730411757447</v>
      </c>
      <c r="AH18" s="224">
        <f>H18/$AF$1*'Network Crash Rates'!$F$4+I18/$AF$1*'Network Crash Rates'!$F$5+J18/$AF$1*'Network Crash Rates'!$F$6</f>
        <v>3.7220976436823552</v>
      </c>
      <c r="AI18" s="224">
        <f>K18/$AF$1*'Network Crash Rates'!$D$7+L18/$AF$1*'Network Crash Rates'!$D$8+M18/$AF$1*'Network Crash Rates'!$D$9</f>
        <v>0</v>
      </c>
      <c r="AJ18" s="225">
        <f>K18/$AF$1*'Network Crash Rates'!$E$7+L18/$AF$1*'Network Crash Rates'!$E$8+M18/$AF$1*'Network Crash Rates'!$E$9</f>
        <v>0</v>
      </c>
      <c r="AK18" s="225">
        <f>K18/$AF$1*'Network Crash Rates'!$F$7+L18/$AF$1*'Network Crash Rates'!$F$8+M18/$AF$1*'Network Crash Rates'!$F$9</f>
        <v>0</v>
      </c>
    </row>
    <row r="19" spans="1:61" x14ac:dyDescent="0.25">
      <c r="A19" s="203">
        <v>2032</v>
      </c>
      <c r="B19" s="219">
        <v>0</v>
      </c>
      <c r="C19" s="219">
        <v>0</v>
      </c>
      <c r="D19" s="219">
        <f t="shared" si="2"/>
        <v>305395.17942939978</v>
      </c>
      <c r="E19" s="219">
        <v>0</v>
      </c>
      <c r="F19" s="219">
        <v>0</v>
      </c>
      <c r="G19" s="296">
        <f t="shared" si="3"/>
        <v>305395.17942939978</v>
      </c>
      <c r="H19" s="219">
        <v>0</v>
      </c>
      <c r="I19" s="219">
        <v>0</v>
      </c>
      <c r="J19" s="296">
        <f t="shared" si="4"/>
        <v>2992872.758408119</v>
      </c>
      <c r="K19" s="219">
        <v>0</v>
      </c>
      <c r="L19" s="219">
        <v>0</v>
      </c>
      <c r="M19" s="219">
        <v>0</v>
      </c>
      <c r="N19" s="219">
        <v>0</v>
      </c>
      <c r="O19" s="219">
        <v>0</v>
      </c>
      <c r="P19" s="219">
        <f t="shared" si="5"/>
        <v>35629.437600096644</v>
      </c>
      <c r="Q19" s="219">
        <v>0</v>
      </c>
      <c r="R19" s="219">
        <v>0</v>
      </c>
      <c r="S19" s="219">
        <v>0</v>
      </c>
      <c r="T19" s="297">
        <v>0</v>
      </c>
      <c r="U19" s="297">
        <v>0</v>
      </c>
      <c r="V19" s="297">
        <v>0</v>
      </c>
      <c r="W19" s="297">
        <v>0</v>
      </c>
      <c r="X19" s="297">
        <v>0</v>
      </c>
      <c r="Y19" s="297">
        <v>0</v>
      </c>
      <c r="Z19" s="103">
        <f>IFERROR((-1.5*T19^4+2.05*T19^3+0.16*T19^2+0.04*T19+0.025)*N19,0)*'Fixed Factors'!$I$13</f>
        <v>0</v>
      </c>
      <c r="AA19" s="103">
        <f>IFERROR((-1.5*U19^4+2.05*U19^3+0.16*U19^2+0.04*U19+0.025)*O19,0)*'Fixed Factors'!$I$14</f>
        <v>0</v>
      </c>
      <c r="AB19" s="102">
        <f>IFERROR((-1.5*V19^4+2.05*V19^3+0.16*V19^2+0.04*V19+0.025)*P19,0)*'Fixed Factors'!$I$15</f>
        <v>890.7359400024161</v>
      </c>
      <c r="AC19" s="103">
        <f>IFERROR((-1.5*(W19)^4+2.05*(W19)^3+0.16*(W19)^2+0.04*W19+0.025)*Q19,0)*'Fixed Factors'!$I$13</f>
        <v>0</v>
      </c>
      <c r="AD19" s="103">
        <f>IFERROR((-1.5*(X19)^4+2.05*(X19)^3+0.16*(X19)^2+0.04*X19+0.025)*R19,0)*'Fixed Factors'!$I$14</f>
        <v>0</v>
      </c>
      <c r="AE19" s="103">
        <f>IFERROR((-1.5*(Y19)^4+2.05*(Y19)^3+0.16*(Y19)^2+0.04*Y19+0.025)*S19,0)*'Fixed Factors'!$I$15</f>
        <v>0</v>
      </c>
      <c r="AF19" s="224">
        <f>H19/$AF$1*'Network Crash Rates'!$D$4+I19/$AF$1*'Network Crash Rates'!$D$5+J19/$AF$1*'Network Crash Rates'!$D$6</f>
        <v>2.327257856938153E-2</v>
      </c>
      <c r="AG19" s="224">
        <f>H19/$AF$1*'Network Crash Rates'!$E$4+I19/$AF$1*'Network Crash Rates'!$E$5+J19/$AF$1*'Network Crash Rates'!$E$6</f>
        <v>1.0473049429680281</v>
      </c>
      <c r="AH19" s="224">
        <f>H19/$AF$1*'Network Crash Rates'!$F$4+I19/$AF$1*'Network Crash Rates'!$F$5+J19/$AF$1*'Network Crash Rates'!$F$6</f>
        <v>3.7935709718288351</v>
      </c>
      <c r="AI19" s="224">
        <f>K19/$AF$1*'Network Crash Rates'!$D$7+L19/$AF$1*'Network Crash Rates'!$D$8+M19/$AF$1*'Network Crash Rates'!$D$9</f>
        <v>0</v>
      </c>
      <c r="AJ19" s="225">
        <f>K19/$AF$1*'Network Crash Rates'!$E$7+L19/$AF$1*'Network Crash Rates'!$E$8+M19/$AF$1*'Network Crash Rates'!$E$9</f>
        <v>0</v>
      </c>
      <c r="AK19" s="225">
        <f>K19/$AF$1*'Network Crash Rates'!$F$7+L19/$AF$1*'Network Crash Rates'!$F$8+M19/$AF$1*'Network Crash Rates'!$F$9</f>
        <v>0</v>
      </c>
    </row>
    <row r="20" spans="1:61" x14ac:dyDescent="0.25">
      <c r="A20" s="203">
        <v>2033</v>
      </c>
      <c r="B20" s="219">
        <v>0</v>
      </c>
      <c r="C20" s="219">
        <v>0</v>
      </c>
      <c r="D20" s="219">
        <f t="shared" si="2"/>
        <v>311259.50969777931</v>
      </c>
      <c r="E20" s="219">
        <v>0</v>
      </c>
      <c r="F20" s="219">
        <v>0</v>
      </c>
      <c r="G20" s="296">
        <f t="shared" si="3"/>
        <v>311259.50969777931</v>
      </c>
      <c r="H20" s="219">
        <v>0</v>
      </c>
      <c r="I20" s="219">
        <v>0</v>
      </c>
      <c r="J20" s="296">
        <f t="shared" si="4"/>
        <v>3050343.1950382385</v>
      </c>
      <c r="K20" s="219">
        <v>0</v>
      </c>
      <c r="L20" s="219">
        <v>0</v>
      </c>
      <c r="M20" s="219">
        <v>0</v>
      </c>
      <c r="N20" s="219">
        <v>0</v>
      </c>
      <c r="O20" s="219">
        <v>0</v>
      </c>
      <c r="P20" s="219">
        <f t="shared" si="5"/>
        <v>36313.609464740926</v>
      </c>
      <c r="Q20" s="219">
        <v>0</v>
      </c>
      <c r="R20" s="219">
        <v>0</v>
      </c>
      <c r="S20" s="219">
        <v>0</v>
      </c>
      <c r="T20" s="297">
        <v>0</v>
      </c>
      <c r="U20" s="297">
        <v>0</v>
      </c>
      <c r="V20" s="297">
        <v>0</v>
      </c>
      <c r="W20" s="297">
        <v>0</v>
      </c>
      <c r="X20" s="297">
        <v>0</v>
      </c>
      <c r="Y20" s="297">
        <v>0</v>
      </c>
      <c r="Z20" s="103">
        <f>IFERROR((-1.5*T20^4+2.05*T20^3+0.16*T20^2+0.04*T20+0.025)*N20,0)*'Fixed Factors'!$I$13</f>
        <v>0</v>
      </c>
      <c r="AA20" s="103">
        <f>IFERROR((-1.5*U20^4+2.05*U20^3+0.16*U20^2+0.04*U20+0.025)*O20,0)*'Fixed Factors'!$I$14</f>
        <v>0</v>
      </c>
      <c r="AB20" s="102">
        <f>IFERROR((-1.5*V20^4+2.05*V20^3+0.16*V20^2+0.04*V20+0.025)*P20,0)*'Fixed Factors'!$I$15</f>
        <v>907.84023661852325</v>
      </c>
      <c r="AC20" s="103">
        <f>IFERROR((-1.5*(W20)^4+2.05*(W20)^3+0.16*(W20)^2+0.04*W20+0.025)*Q20,0)*'Fixed Factors'!$I$13</f>
        <v>0</v>
      </c>
      <c r="AD20" s="103">
        <f>IFERROR((-1.5*(X20)^4+2.05*(X20)^3+0.16*(X20)^2+0.04*X20+0.025)*R20,0)*'Fixed Factors'!$I$14</f>
        <v>0</v>
      </c>
      <c r="AE20" s="103">
        <f>IFERROR((-1.5*(Y20)^4+2.05*(Y20)^3+0.16*(Y20)^2+0.04*Y20+0.025)*S20,0)*'Fixed Factors'!$I$15</f>
        <v>0</v>
      </c>
      <c r="AF20" s="224">
        <f>H20/$AF$1*'Network Crash Rates'!$D$4+I20/$AF$1*'Network Crash Rates'!$D$5+J20/$AF$1*'Network Crash Rates'!$D$6</f>
        <v>2.3719468684617342E-2</v>
      </c>
      <c r="AG20" s="224">
        <f>H20/$AF$1*'Network Crash Rates'!$E$4+I20/$AF$1*'Network Crash Rates'!$E$5+J20/$AF$1*'Network Crash Rates'!$E$6</f>
        <v>1.0674157452693158</v>
      </c>
      <c r="AH20" s="224">
        <f>H20/$AF$1*'Network Crash Rates'!$F$4+I20/$AF$1*'Network Crash Rates'!$F$5+J20/$AF$1*'Network Crash Rates'!$F$6</f>
        <v>3.8664167617227938</v>
      </c>
      <c r="AI20" s="224">
        <f>K20/$AF$1*'Network Crash Rates'!$D$7+L20/$AF$1*'Network Crash Rates'!$D$8+M20/$AF$1*'Network Crash Rates'!$D$9</f>
        <v>0</v>
      </c>
      <c r="AJ20" s="225">
        <f>K20/$AF$1*'Network Crash Rates'!$E$7+L20/$AF$1*'Network Crash Rates'!$E$8+M20/$AF$1*'Network Crash Rates'!$E$9</f>
        <v>0</v>
      </c>
      <c r="AK20" s="225">
        <f>K20/$AF$1*'Network Crash Rates'!$F$7+L20/$AF$1*'Network Crash Rates'!$F$8+M20/$AF$1*'Network Crash Rates'!$F$9</f>
        <v>0</v>
      </c>
    </row>
    <row r="21" spans="1:61" x14ac:dyDescent="0.25">
      <c r="A21" s="203">
        <v>2034</v>
      </c>
      <c r="B21" s="219">
        <v>0</v>
      </c>
      <c r="C21" s="219">
        <v>0</v>
      </c>
      <c r="D21" s="219">
        <f t="shared" si="2"/>
        <v>317236.44937132654</v>
      </c>
      <c r="E21" s="219">
        <v>0</v>
      </c>
      <c r="F21" s="219">
        <v>0</v>
      </c>
      <c r="G21" s="296">
        <f t="shared" si="3"/>
        <v>317236.44937132654</v>
      </c>
      <c r="H21" s="219">
        <v>0</v>
      </c>
      <c r="I21" s="219">
        <v>0</v>
      </c>
      <c r="J21" s="296">
        <f t="shared" si="4"/>
        <v>3108917.2038390017</v>
      </c>
      <c r="K21" s="219">
        <v>0</v>
      </c>
      <c r="L21" s="219">
        <v>0</v>
      </c>
      <c r="M21" s="219">
        <v>0</v>
      </c>
      <c r="N21" s="219">
        <v>0</v>
      </c>
      <c r="O21" s="219">
        <v>0</v>
      </c>
      <c r="P21" s="219">
        <f t="shared" si="5"/>
        <v>37010.919093321441</v>
      </c>
      <c r="Q21" s="219">
        <v>0</v>
      </c>
      <c r="R21" s="219">
        <v>0</v>
      </c>
      <c r="S21" s="219">
        <v>0</v>
      </c>
      <c r="T21" s="297">
        <v>0</v>
      </c>
      <c r="U21" s="297">
        <v>0</v>
      </c>
      <c r="V21" s="297">
        <v>0</v>
      </c>
      <c r="W21" s="297">
        <v>0</v>
      </c>
      <c r="X21" s="297">
        <v>0</v>
      </c>
      <c r="Y21" s="297">
        <v>0</v>
      </c>
      <c r="Z21" s="103">
        <f>IFERROR((-1.5*T21^4+2.05*T21^3+0.16*T21^2+0.04*T21+0.025)*N21,0)*'Fixed Factors'!$I$13</f>
        <v>0</v>
      </c>
      <c r="AA21" s="103">
        <f>IFERROR((-1.5*U21^4+2.05*U21^3+0.16*U21^2+0.04*U21+0.025)*O21,0)*'Fixed Factors'!$I$14</f>
        <v>0</v>
      </c>
      <c r="AB21" s="102">
        <f>IFERROR((-1.5*V21^4+2.05*V21^3+0.16*V21^2+0.04*V21+0.025)*P21,0)*'Fixed Factors'!$I$15</f>
        <v>925.27297733303612</v>
      </c>
      <c r="AC21" s="103">
        <f>IFERROR((-1.5*(W21)^4+2.05*(W21)^3+0.16*(W21)^2+0.04*W21+0.025)*Q21,0)*'Fixed Factors'!$I$13</f>
        <v>0</v>
      </c>
      <c r="AD21" s="103">
        <f>IFERROR((-1.5*(X21)^4+2.05*(X21)^3+0.16*(X21)^2+0.04*X21+0.025)*R21,0)*'Fixed Factors'!$I$14</f>
        <v>0</v>
      </c>
      <c r="AE21" s="103">
        <f>IFERROR((-1.5*(Y21)^4+2.05*(Y21)^3+0.16*(Y21)^2+0.04*Y21+0.025)*S21,0)*'Fixed Factors'!$I$15</f>
        <v>0</v>
      </c>
      <c r="AF21" s="224">
        <f>H21/$AF$1*'Network Crash Rates'!$D$4+I21/$AF$1*'Network Crash Rates'!$D$5+J21/$AF$1*'Network Crash Rates'!$D$6</f>
        <v>2.4174940177052077E-2</v>
      </c>
      <c r="AG21" s="224">
        <f>H21/$AF$1*'Network Crash Rates'!$E$4+I21/$AF$1*'Network Crash Rates'!$E$5+J21/$AF$1*'Network Crash Rates'!$E$6</f>
        <v>1.0879127238909934</v>
      </c>
      <c r="AH21" s="224">
        <f>H21/$AF$1*'Network Crash Rates'!$F$4+I21/$AF$1*'Network Crash Rates'!$F$5+J21/$AF$1*'Network Crash Rates'!$F$6</f>
        <v>3.9406613679680693</v>
      </c>
      <c r="AI21" s="224">
        <f>K21/$AF$1*'Network Crash Rates'!$D$7+L21/$AF$1*'Network Crash Rates'!$D$8+M21/$AF$1*'Network Crash Rates'!$D$9</f>
        <v>0</v>
      </c>
      <c r="AJ21" s="225">
        <f>K21/$AF$1*'Network Crash Rates'!$E$7+L21/$AF$1*'Network Crash Rates'!$E$8+M21/$AF$1*'Network Crash Rates'!$E$9</f>
        <v>0</v>
      </c>
      <c r="AK21" s="225">
        <f>K21/$AF$1*'Network Crash Rates'!$F$7+L21/$AF$1*'Network Crash Rates'!$F$8+M21/$AF$1*'Network Crash Rates'!$F$9</f>
        <v>0</v>
      </c>
    </row>
    <row r="22" spans="1:61" x14ac:dyDescent="0.25">
      <c r="A22" s="203">
        <v>2035</v>
      </c>
      <c r="B22" s="219">
        <v>0</v>
      </c>
      <c r="C22" s="219">
        <v>0</v>
      </c>
      <c r="D22" s="219">
        <f t="shared" si="2"/>
        <v>323328.16082452453</v>
      </c>
      <c r="E22" s="219">
        <v>0</v>
      </c>
      <c r="F22" s="219">
        <v>0</v>
      </c>
      <c r="G22" s="296">
        <f t="shared" si="3"/>
        <v>323328.16082452453</v>
      </c>
      <c r="H22" s="219">
        <v>0</v>
      </c>
      <c r="I22" s="219">
        <v>0</v>
      </c>
      <c r="J22" s="296">
        <f t="shared" si="4"/>
        <v>3168615.9760803417</v>
      </c>
      <c r="K22" s="219">
        <v>0</v>
      </c>
      <c r="L22" s="219">
        <v>0</v>
      </c>
      <c r="M22" s="219">
        <v>0</v>
      </c>
      <c r="N22" s="219">
        <v>0</v>
      </c>
      <c r="O22" s="219">
        <v>0</v>
      </c>
      <c r="P22" s="219">
        <f t="shared" si="5"/>
        <v>37721.618762861202</v>
      </c>
      <c r="Q22" s="219">
        <v>0</v>
      </c>
      <c r="R22" s="219">
        <v>0</v>
      </c>
      <c r="S22" s="219">
        <v>0</v>
      </c>
      <c r="T22" s="297">
        <v>0</v>
      </c>
      <c r="U22" s="297">
        <v>0</v>
      </c>
      <c r="V22" s="297">
        <v>0</v>
      </c>
      <c r="W22" s="297">
        <v>0</v>
      </c>
      <c r="X22" s="297">
        <v>0</v>
      </c>
      <c r="Y22" s="297">
        <v>0</v>
      </c>
      <c r="Z22" s="103">
        <f>IFERROR((-1.5*T22^4+2.05*T22^3+0.16*T22^2+0.04*T22+0.025)*N22,0)*'Fixed Factors'!$I$13</f>
        <v>0</v>
      </c>
      <c r="AA22" s="103">
        <f>IFERROR((-1.5*U22^4+2.05*U22^3+0.16*U22^2+0.04*U22+0.025)*O22,0)*'Fixed Factors'!$I$14</f>
        <v>0</v>
      </c>
      <c r="AB22" s="102">
        <f>IFERROR((-1.5*V22^4+2.05*V22^3+0.16*V22^2+0.04*V22+0.025)*P22,0)*'Fixed Factors'!$I$15</f>
        <v>943.04046907153008</v>
      </c>
      <c r="AC22" s="103">
        <f>IFERROR((-1.5*(W22)^4+2.05*(W22)^3+0.16*(W22)^2+0.04*W22+0.025)*Q22,0)*'Fixed Factors'!$I$13</f>
        <v>0</v>
      </c>
      <c r="AD22" s="103">
        <f>IFERROR((-1.5*(X22)^4+2.05*(X22)^3+0.16*(X22)^2+0.04*X22+0.025)*R22,0)*'Fixed Factors'!$I$14</f>
        <v>0</v>
      </c>
      <c r="AE22" s="103">
        <f>IFERROR((-1.5*(Y22)^4+2.05*(Y22)^3+0.16*(Y22)^2+0.04*Y22+0.025)*S22,0)*'Fixed Factors'!$I$15</f>
        <v>0</v>
      </c>
      <c r="AF22" s="224">
        <f>H22/$AF$1*'Network Crash Rates'!$D$4+I22/$AF$1*'Network Crash Rates'!$D$5+J22/$AF$1*'Network Crash Rates'!$D$6</f>
        <v>2.4639157830000737E-2</v>
      </c>
      <c r="AG22" s="224">
        <f>H22/$AF$1*'Network Crash Rates'!$E$4+I22/$AF$1*'Network Crash Rates'!$E$5+J22/$AF$1*'Network Crash Rates'!$E$6</f>
        <v>1.1088032943577222</v>
      </c>
      <c r="AH22" s="224">
        <f>H22/$AF$1*'Network Crash Rates'!$F$4+I22/$AF$1*'Network Crash Rates'!$F$5+J22/$AF$1*'Network Crash Rates'!$F$6</f>
        <v>4.0163316512409963</v>
      </c>
      <c r="AI22" s="224">
        <f>K22/$AF$1*'Network Crash Rates'!$D$7+L22/$AF$1*'Network Crash Rates'!$D$8+M22/$AF$1*'Network Crash Rates'!$D$9</f>
        <v>0</v>
      </c>
      <c r="AJ22" s="225">
        <f>K22/$AF$1*'Network Crash Rates'!$E$7+L22/$AF$1*'Network Crash Rates'!$E$8+M22/$AF$1*'Network Crash Rates'!$E$9</f>
        <v>0</v>
      </c>
      <c r="AK22" s="225">
        <f>K22/$AF$1*'Network Crash Rates'!$F$7+L22/$AF$1*'Network Crash Rates'!$F$8+M22/$AF$1*'Network Crash Rates'!$F$9</f>
        <v>0</v>
      </c>
    </row>
    <row r="23" spans="1:61" s="221" customFormat="1" x14ac:dyDescent="0.25">
      <c r="A23" s="222">
        <v>2036</v>
      </c>
      <c r="B23" s="219">
        <v>0</v>
      </c>
      <c r="C23" s="219">
        <v>0</v>
      </c>
      <c r="D23" s="219">
        <f t="shared" si="2"/>
        <v>329536.84795470588</v>
      </c>
      <c r="E23" s="219">
        <v>0</v>
      </c>
      <c r="F23" s="219">
        <v>0</v>
      </c>
      <c r="G23" s="296">
        <f t="shared" si="3"/>
        <v>329536.84795470588</v>
      </c>
      <c r="H23" s="219">
        <v>0</v>
      </c>
      <c r="I23" s="219">
        <v>0</v>
      </c>
      <c r="J23" s="296">
        <f t="shared" si="4"/>
        <v>3229461.1099561192</v>
      </c>
      <c r="K23" s="219">
        <v>0</v>
      </c>
      <c r="L23" s="219">
        <v>0</v>
      </c>
      <c r="M23" s="219">
        <v>0</v>
      </c>
      <c r="N23" s="219">
        <v>0</v>
      </c>
      <c r="O23" s="219">
        <v>0</v>
      </c>
      <c r="P23" s="219">
        <f t="shared" si="5"/>
        <v>38445.965594715693</v>
      </c>
      <c r="Q23" s="219">
        <v>0</v>
      </c>
      <c r="R23" s="219">
        <v>0</v>
      </c>
      <c r="S23" s="219">
        <v>0</v>
      </c>
      <c r="T23" s="297">
        <v>0</v>
      </c>
      <c r="U23" s="297">
        <v>0</v>
      </c>
      <c r="V23" s="297">
        <v>0</v>
      </c>
      <c r="W23" s="297">
        <v>0</v>
      </c>
      <c r="X23" s="297">
        <v>0</v>
      </c>
      <c r="Y23" s="297">
        <v>0</v>
      </c>
      <c r="Z23" s="219">
        <f>IFERROR((-1.5*T23^4+2.05*T23^3+0.16*T23^2+0.04*T23+0.025)*N23,0)*'Fixed Factors'!$I$13</f>
        <v>0</v>
      </c>
      <c r="AA23" s="219">
        <f>IFERROR((-1.5*U23^4+2.05*U23^3+0.16*U23^2+0.04*U23+0.025)*O23,0)*'Fixed Factors'!$I$14</f>
        <v>0</v>
      </c>
      <c r="AB23" s="220">
        <f>IFERROR((-1.5*V23^4+2.05*V23^3+0.16*V23^2+0.04*V23+0.025)*P23,0)*'Fixed Factors'!$I$15</f>
        <v>961.14913986789236</v>
      </c>
      <c r="AC23" s="219">
        <f>IFERROR((-1.5*(W23)^4+2.05*(W23)^3+0.16*(W23)^2+0.04*W23+0.025)*Q23,0)*'Fixed Factors'!$I$13</f>
        <v>0</v>
      </c>
      <c r="AD23" s="219">
        <f>IFERROR((-1.5*(X23)^4+2.05*(X23)^3+0.16*(X23)^2+0.04*X23+0.025)*R23,0)*'Fixed Factors'!$I$14</f>
        <v>0</v>
      </c>
      <c r="AE23" s="219">
        <f>IFERROR((-1.5*(Y23)^4+2.05*(Y23)^3+0.16*(Y23)^2+0.04*Y23+0.025)*S23,0)*'Fixed Factors'!$I$15</f>
        <v>0</v>
      </c>
      <c r="AF23" s="224">
        <f>H23/$AF$1*'Network Crash Rates'!$D$4+I23/$AF$1*'Network Crash Rates'!$D$5+J23/$AF$1*'Network Crash Rates'!$D$6</f>
        <v>2.5112289591018782E-2</v>
      </c>
      <c r="AG23" s="224">
        <f>H23/$AF$1*'Network Crash Rates'!$E$4+I23/$AF$1*'Network Crash Rates'!$E$5+J23/$AF$1*'Network Crash Rates'!$E$6</f>
        <v>1.1300950145902746</v>
      </c>
      <c r="AH23" s="224">
        <f>H23/$AF$1*'Network Crash Rates'!$F$4+I23/$AF$1*'Network Crash Rates'!$F$5+J23/$AF$1*'Network Crash Rates'!$F$6</f>
        <v>4.0934549880082294</v>
      </c>
      <c r="AI23" s="224">
        <f>K23/$AF$1*'Network Crash Rates'!$D$7+L23/$AF$1*'Network Crash Rates'!$D$8+M23/$AF$1*'Network Crash Rates'!$D$9</f>
        <v>0</v>
      </c>
      <c r="AJ23" s="224">
        <f>K23/$AF$1*'Network Crash Rates'!$E$7+L23/$AF$1*'Network Crash Rates'!$E$8+M23/$AF$1*'Network Crash Rates'!$E$9</f>
        <v>0</v>
      </c>
      <c r="AK23" s="224">
        <f>K23/$AF$1*'Network Crash Rates'!$F$7+L23/$AF$1*'Network Crash Rates'!$F$8+M23/$AF$1*'Network Crash Rates'!$F$9</f>
        <v>0</v>
      </c>
    </row>
    <row r="24" spans="1:61" x14ac:dyDescent="0.25">
      <c r="A24" s="203">
        <v>2037</v>
      </c>
      <c r="B24" s="219">
        <v>0</v>
      </c>
      <c r="C24" s="219">
        <v>0</v>
      </c>
      <c r="D24" s="219">
        <f t="shared" si="2"/>
        <v>335864.75697939278</v>
      </c>
      <c r="E24" s="219">
        <v>0</v>
      </c>
      <c r="F24" s="219">
        <v>0</v>
      </c>
      <c r="G24" s="296">
        <f t="shared" si="3"/>
        <v>335864.75697939278</v>
      </c>
      <c r="H24" s="219">
        <v>0</v>
      </c>
      <c r="I24" s="219">
        <v>0</v>
      </c>
      <c r="J24" s="296">
        <f t="shared" si="4"/>
        <v>3291474.6183980508</v>
      </c>
      <c r="K24" s="219">
        <v>0</v>
      </c>
      <c r="L24" s="219">
        <v>0</v>
      </c>
      <c r="M24" s="219">
        <v>0</v>
      </c>
      <c r="N24" s="219">
        <v>0</v>
      </c>
      <c r="O24" s="219">
        <v>0</v>
      </c>
      <c r="P24" s="219">
        <f t="shared" si="5"/>
        <v>39184.221647595827</v>
      </c>
      <c r="Q24" s="219">
        <v>0</v>
      </c>
      <c r="R24" s="219">
        <v>0</v>
      </c>
      <c r="S24" s="219">
        <v>0</v>
      </c>
      <c r="T24" s="297">
        <v>0</v>
      </c>
      <c r="U24" s="297">
        <v>0</v>
      </c>
      <c r="V24" s="297">
        <v>0</v>
      </c>
      <c r="W24" s="297">
        <v>0</v>
      </c>
      <c r="X24" s="297">
        <v>0</v>
      </c>
      <c r="Y24" s="297">
        <v>0</v>
      </c>
      <c r="Z24" s="103">
        <f>IFERROR((-1.5*T24^4+2.05*T24^3+0.16*T24^2+0.04*T24+0.025)*N24,0)*'Fixed Factors'!$I$13</f>
        <v>0</v>
      </c>
      <c r="AA24" s="103">
        <f>IFERROR((-1.5*U24^4+2.05*U24^3+0.16*U24^2+0.04*U24+0.025)*O24,0)*'Fixed Factors'!$I$14</f>
        <v>0</v>
      </c>
      <c r="AB24" s="102">
        <f>IFERROR((-1.5*V24^4+2.05*V24^3+0.16*V24^2+0.04*V24+0.025)*P24,0)*'Fixed Factors'!$I$15</f>
        <v>979.60554118989569</v>
      </c>
      <c r="AC24" s="103">
        <f>IFERROR((-1.5*(W24)^4+2.05*(W24)^3+0.16*(W24)^2+0.04*W24+0.025)*Q24,0)*'Fixed Factors'!$I$13</f>
        <v>0</v>
      </c>
      <c r="AD24" s="103">
        <f>IFERROR((-1.5*(X24)^4+2.05*(X24)^3+0.16*(X24)^2+0.04*X24+0.025)*R24,0)*'Fixed Factors'!$I$14</f>
        <v>0</v>
      </c>
      <c r="AE24" s="103">
        <f>IFERROR((-1.5*(Y24)^4+2.05*(Y24)^3+0.16*(Y24)^2+0.04*Y24+0.025)*S24,0)*'Fixed Factors'!$I$15</f>
        <v>0</v>
      </c>
      <c r="AF24" s="224">
        <f>H24/$AF$1*'Network Crash Rates'!$D$4+I24/$AF$1*'Network Crash Rates'!$D$5+J24/$AF$1*'Network Crash Rates'!$D$6</f>
        <v>2.5594506632663241E-2</v>
      </c>
      <c r="AG24" s="224">
        <f>H24/$AF$1*'Network Crash Rates'!$E$4+I24/$AF$1*'Network Crash Rates'!$E$5+J24/$AF$1*'Network Crash Rates'!$E$6</f>
        <v>1.1517955876398849</v>
      </c>
      <c r="AH24" s="224">
        <f>H24/$AF$1*'Network Crash Rates'!$F$4+I24/$AF$1*'Network Crash Rates'!$F$5+J24/$AF$1*'Network Crash Rates'!$F$6</f>
        <v>4.1720592804311734</v>
      </c>
      <c r="AI24" s="224">
        <f>K24/$AF$1*'Network Crash Rates'!$D$7+L24/$AF$1*'Network Crash Rates'!$D$8+M24/$AF$1*'Network Crash Rates'!$D$9</f>
        <v>0</v>
      </c>
      <c r="AJ24" s="225">
        <f>K24/$AF$1*'Network Crash Rates'!$E$7+L24/$AF$1*'Network Crash Rates'!$E$8+M24/$AF$1*'Network Crash Rates'!$E$9</f>
        <v>0</v>
      </c>
      <c r="AK24" s="225">
        <f>K24/$AF$1*'Network Crash Rates'!$F$7+L24/$AF$1*'Network Crash Rates'!$F$8+M24/$AF$1*'Network Crash Rates'!$F$9</f>
        <v>0</v>
      </c>
    </row>
    <row r="25" spans="1:61" x14ac:dyDescent="0.25">
      <c r="A25" s="203">
        <v>2038</v>
      </c>
      <c r="B25" s="219">
        <v>0</v>
      </c>
      <c r="C25" s="219">
        <v>0</v>
      </c>
      <c r="D25" s="219">
        <f t="shared" si="2"/>
        <v>342314.17724894721</v>
      </c>
      <c r="E25" s="219">
        <v>0</v>
      </c>
      <c r="F25" s="219">
        <v>0</v>
      </c>
      <c r="G25" s="296">
        <f t="shared" si="3"/>
        <v>342314.17724894721</v>
      </c>
      <c r="H25" s="219">
        <v>0</v>
      </c>
      <c r="I25" s="219">
        <v>0</v>
      </c>
      <c r="J25" s="296">
        <f t="shared" si="4"/>
        <v>3354678.9370396845</v>
      </c>
      <c r="K25" s="219">
        <v>0</v>
      </c>
      <c r="L25" s="219">
        <v>0</v>
      </c>
      <c r="M25" s="219">
        <v>0</v>
      </c>
      <c r="N25" s="219">
        <v>0</v>
      </c>
      <c r="O25" s="219">
        <v>0</v>
      </c>
      <c r="P25" s="219">
        <f t="shared" si="5"/>
        <v>39936.654012377177</v>
      </c>
      <c r="Q25" s="219">
        <v>0</v>
      </c>
      <c r="R25" s="219">
        <v>0</v>
      </c>
      <c r="S25" s="219">
        <v>0</v>
      </c>
      <c r="T25" s="297">
        <v>0</v>
      </c>
      <c r="U25" s="297">
        <v>0</v>
      </c>
      <c r="V25" s="297">
        <v>0</v>
      </c>
      <c r="W25" s="297">
        <v>0</v>
      </c>
      <c r="X25" s="297">
        <v>0</v>
      </c>
      <c r="Y25" s="297">
        <v>0</v>
      </c>
      <c r="Z25" s="103">
        <f>IFERROR((-1.5*T25^4+2.05*T25^3+0.16*T25^2+0.04*T25+0.025)*N25,0)*'Fixed Factors'!$I$13</f>
        <v>0</v>
      </c>
      <c r="AA25" s="103">
        <f>IFERROR((-1.5*U25^4+2.05*U25^3+0.16*U25^2+0.04*U25+0.025)*O25,0)*'Fixed Factors'!$I$14</f>
        <v>0</v>
      </c>
      <c r="AB25" s="102">
        <f>IFERROR((-1.5*V25^4+2.05*V25^3+0.16*V25^2+0.04*V25+0.025)*P25,0)*'Fixed Factors'!$I$15</f>
        <v>998.4163503094295</v>
      </c>
      <c r="AC25" s="103">
        <f>IFERROR((-1.5*(W25)^4+2.05*(W25)^3+0.16*(W25)^2+0.04*W25+0.025)*Q25,0)*'Fixed Factors'!$I$13</f>
        <v>0</v>
      </c>
      <c r="AD25" s="103">
        <f>IFERROR((-1.5*(X25)^4+2.05*(X25)^3+0.16*(X25)^2+0.04*X25+0.025)*R25,0)*'Fixed Factors'!$I$14</f>
        <v>0</v>
      </c>
      <c r="AE25" s="103">
        <f>IFERROR((-1.5*(Y25)^4+2.05*(Y25)^3+0.16*(Y25)^2+0.04*Y25+0.025)*S25,0)*'Fixed Factors'!$I$15</f>
        <v>0</v>
      </c>
      <c r="AF25" s="224">
        <f>H25/$AF$1*'Network Crash Rates'!$D$4+I25/$AF$1*'Network Crash Rates'!$D$5+J25/$AF$1*'Network Crash Rates'!$D$6</f>
        <v>2.6085983414420585E-2</v>
      </c>
      <c r="AG25" s="224">
        <f>H25/$AF$1*'Network Crash Rates'!$E$4+I25/$AF$1*'Network Crash Rates'!$E$5+J25/$AF$1*'Network Crash Rates'!$E$6</f>
        <v>1.1739128644751078</v>
      </c>
      <c r="AH25" s="224">
        <f>H25/$AF$1*'Network Crash Rates'!$F$4+I25/$AF$1*'Network Crash Rates'!$F$5+J25/$AF$1*'Network Crash Rates'!$F$6</f>
        <v>4.2521729664605967</v>
      </c>
      <c r="AI25" s="224">
        <f>K25/$AF$1*'Network Crash Rates'!$D$7+L25/$AF$1*'Network Crash Rates'!$D$8+M25/$AF$1*'Network Crash Rates'!$D$9</f>
        <v>0</v>
      </c>
      <c r="AJ25" s="225">
        <f>K25/$AF$1*'Network Crash Rates'!$E$7+L25/$AF$1*'Network Crash Rates'!$E$8+M25/$AF$1*'Network Crash Rates'!$E$9</f>
        <v>0</v>
      </c>
      <c r="AK25" s="225">
        <f>K25/$AF$1*'Network Crash Rates'!$F$7+L25/$AF$1*'Network Crash Rates'!$F$8+M25/$AF$1*'Network Crash Rates'!$F$9</f>
        <v>0</v>
      </c>
    </row>
    <row r="26" spans="1:61" x14ac:dyDescent="0.25">
      <c r="A26" s="203">
        <v>2039</v>
      </c>
      <c r="B26" s="219">
        <v>0</v>
      </c>
      <c r="C26" s="219">
        <v>0</v>
      </c>
      <c r="D26" s="219">
        <f t="shared" si="2"/>
        <v>348887.44207482674</v>
      </c>
      <c r="E26" s="219">
        <v>0</v>
      </c>
      <c r="F26" s="219">
        <v>0</v>
      </c>
      <c r="G26" s="296">
        <f t="shared" si="3"/>
        <v>348887.44207482674</v>
      </c>
      <c r="H26" s="219">
        <v>0</v>
      </c>
      <c r="I26" s="219">
        <v>0</v>
      </c>
      <c r="J26" s="296">
        <f t="shared" si="4"/>
        <v>3419096.9323333036</v>
      </c>
      <c r="K26" s="219">
        <v>0</v>
      </c>
      <c r="L26" s="219">
        <v>0</v>
      </c>
      <c r="M26" s="219">
        <v>0</v>
      </c>
      <c r="N26" s="219">
        <v>0</v>
      </c>
      <c r="O26" s="219">
        <v>0</v>
      </c>
      <c r="P26" s="219">
        <f t="shared" si="5"/>
        <v>40703.534908729787</v>
      </c>
      <c r="Q26" s="219">
        <v>0</v>
      </c>
      <c r="R26" s="219">
        <v>0</v>
      </c>
      <c r="S26" s="219">
        <v>0</v>
      </c>
      <c r="T26" s="297">
        <v>0</v>
      </c>
      <c r="U26" s="297">
        <v>0</v>
      </c>
      <c r="V26" s="297">
        <v>0</v>
      </c>
      <c r="W26" s="297">
        <v>0</v>
      </c>
      <c r="X26" s="297">
        <v>0</v>
      </c>
      <c r="Y26" s="297">
        <v>0</v>
      </c>
      <c r="Z26" s="103">
        <f>IFERROR((-1.5*T26^4+2.05*T26^3+0.16*T26^2+0.04*T26+0.025)*N26,0)*'Fixed Factors'!$I$13</f>
        <v>0</v>
      </c>
      <c r="AA26" s="103">
        <f>IFERROR((-1.5*U26^4+2.05*U26^3+0.16*U26^2+0.04*U26+0.025)*O26,0)*'Fixed Factors'!$I$14</f>
        <v>0</v>
      </c>
      <c r="AB26" s="102">
        <f>IFERROR((-1.5*V26^4+2.05*V26^3+0.16*V26^2+0.04*V26+0.025)*P26,0)*'Fixed Factors'!$I$15</f>
        <v>1017.5883727182447</v>
      </c>
      <c r="AC26" s="103">
        <f>IFERROR((-1.5*(W26)^4+2.05*(W26)^3+0.16*(W26)^2+0.04*W26+0.025)*Q26,0)*'Fixed Factors'!$I$13</f>
        <v>0</v>
      </c>
      <c r="AD26" s="103">
        <f>IFERROR((-1.5*(X26)^4+2.05*(X26)^3+0.16*(X26)^2+0.04*X26+0.025)*R26,0)*'Fixed Factors'!$I$14</f>
        <v>0</v>
      </c>
      <c r="AE26" s="103">
        <f>IFERROR((-1.5*(Y26)^4+2.05*(Y26)^3+0.16*(Y26)^2+0.04*Y26+0.025)*S26,0)*'Fixed Factors'!$I$15</f>
        <v>0</v>
      </c>
      <c r="AF26" s="224">
        <f>H26/$AF$1*'Network Crash Rates'!$D$4+I26/$AF$1*'Network Crash Rates'!$D$5+J26/$AF$1*'Network Crash Rates'!$D$6</f>
        <v>2.6586897745823766E-2</v>
      </c>
      <c r="AG26" s="224">
        <f>H26/$AF$1*'Network Crash Rates'!$E$4+I26/$AF$1*'Network Crash Rates'!$E$5+J26/$AF$1*'Network Crash Rates'!$E$6</f>
        <v>1.1964548468221898</v>
      </c>
      <c r="AH26" s="224">
        <f>H26/$AF$1*'Network Crash Rates'!$F$4+I26/$AF$1*'Network Crash Rates'!$F$5+J26/$AF$1*'Network Crash Rates'!$F$6</f>
        <v>4.3338250301250936</v>
      </c>
      <c r="AI26" s="224">
        <f>K26/$AF$1*'Network Crash Rates'!$D$7+L26/$AF$1*'Network Crash Rates'!$D$8+M26/$AF$1*'Network Crash Rates'!$D$9</f>
        <v>0</v>
      </c>
      <c r="AJ26" s="225">
        <f>K26/$AF$1*'Network Crash Rates'!$E$7+L26/$AF$1*'Network Crash Rates'!$E$8+M26/$AF$1*'Network Crash Rates'!$E$9</f>
        <v>0</v>
      </c>
      <c r="AK26" s="225">
        <f>K26/$AF$1*'Network Crash Rates'!$F$7+L26/$AF$1*'Network Crash Rates'!$F$8+M26/$AF$1*'Network Crash Rates'!$F$9</f>
        <v>0</v>
      </c>
    </row>
    <row r="27" spans="1:61" x14ac:dyDescent="0.25">
      <c r="A27" s="203">
        <v>2040</v>
      </c>
      <c r="B27" s="219">
        <v>0</v>
      </c>
      <c r="C27" s="219">
        <v>0</v>
      </c>
      <c r="D27" s="219">
        <f t="shared" si="2"/>
        <v>355586.92957374419</v>
      </c>
      <c r="E27" s="219">
        <v>0</v>
      </c>
      <c r="F27" s="219">
        <v>0</v>
      </c>
      <c r="G27" s="296">
        <f t="shared" si="3"/>
        <v>355586.92957374419</v>
      </c>
      <c r="H27" s="219">
        <v>0</v>
      </c>
      <c r="I27" s="219">
        <v>0</v>
      </c>
      <c r="J27" s="296">
        <f t="shared" si="4"/>
        <v>3484751.909822695</v>
      </c>
      <c r="K27" s="219">
        <v>0</v>
      </c>
      <c r="L27" s="219">
        <v>0</v>
      </c>
      <c r="M27" s="219">
        <v>0</v>
      </c>
      <c r="N27" s="219">
        <v>0</v>
      </c>
      <c r="O27" s="219">
        <v>0</v>
      </c>
      <c r="P27" s="219">
        <f t="shared" si="5"/>
        <v>41485.141783603489</v>
      </c>
      <c r="Q27" s="219">
        <v>0</v>
      </c>
      <c r="R27" s="219">
        <v>0</v>
      </c>
      <c r="S27" s="219">
        <v>0</v>
      </c>
      <c r="T27" s="297">
        <v>0</v>
      </c>
      <c r="U27" s="297">
        <v>0</v>
      </c>
      <c r="V27" s="297">
        <v>0</v>
      </c>
      <c r="W27" s="297">
        <v>0</v>
      </c>
      <c r="X27" s="297">
        <v>0</v>
      </c>
      <c r="Y27" s="297">
        <v>0</v>
      </c>
      <c r="Z27" s="103">
        <f>IFERROR((-1.5*T27^4+2.05*T27^3+0.16*T27^2+0.04*T27+0.025)*N27,0)*'Fixed Factors'!$I$13</f>
        <v>0</v>
      </c>
      <c r="AA27" s="103">
        <f>IFERROR((-1.5*U27^4+2.05*U27^3+0.16*U27^2+0.04*U27+0.025)*O27,0)*'Fixed Factors'!$I$14</f>
        <v>0</v>
      </c>
      <c r="AB27" s="102">
        <f>IFERROR((-1.5*V27^4+2.05*V27^3+0.16*V27^2+0.04*V27+0.025)*P27,0)*'Fixed Factors'!$I$15</f>
        <v>1037.1285445900874</v>
      </c>
      <c r="AC27" s="103">
        <f>IFERROR((-1.5*(W27)^4+2.05*(W27)^3+0.16*(W27)^2+0.04*W27+0.025)*Q27,0)*'Fixed Factors'!$I$13</f>
        <v>0</v>
      </c>
      <c r="AD27" s="103">
        <f>IFERROR((-1.5*(X27)^4+2.05*(X27)^3+0.16*(X27)^2+0.04*X27+0.025)*R27,0)*'Fixed Factors'!$I$14</f>
        <v>0</v>
      </c>
      <c r="AE27" s="103">
        <f>IFERROR((-1.5*(Y27)^4+2.05*(Y27)^3+0.16*(Y27)^2+0.04*Y27+0.025)*S27,0)*'Fixed Factors'!$I$15</f>
        <v>0</v>
      </c>
      <c r="AF27" s="224">
        <f>H27/$AF$1*'Network Crash Rates'!$D$4+I27/$AF$1*'Network Crash Rates'!$D$5+J27/$AF$1*'Network Crash Rates'!$D$6</f>
        <v>2.7097430850781274E-2</v>
      </c>
      <c r="AG27" s="224">
        <f>H27/$AF$1*'Network Crash Rates'!$E$4+I27/$AF$1*'Network Crash Rates'!$E$5+J27/$AF$1*'Network Crash Rates'!$E$6</f>
        <v>1.219429690059985</v>
      </c>
      <c r="AH27" s="224">
        <f>H27/$AF$1*'Network Crash Rates'!$F$4+I27/$AF$1*'Network Crash Rates'!$F$5+J27/$AF$1*'Network Crash Rates'!$F$6</f>
        <v>4.4170450120171099</v>
      </c>
      <c r="AI27" s="224">
        <f>K27/$AF$1*'Network Crash Rates'!$D$7+L27/$AF$1*'Network Crash Rates'!$D$8+M27/$AF$1*'Network Crash Rates'!$D$9</f>
        <v>0</v>
      </c>
      <c r="AJ27" s="225">
        <f>K27/$AF$1*'Network Crash Rates'!$E$7+L27/$AF$1*'Network Crash Rates'!$E$8+M27/$AF$1*'Network Crash Rates'!$E$9</f>
        <v>0</v>
      </c>
      <c r="AK27" s="225">
        <f>K27/$AF$1*'Network Crash Rates'!$F$7+L27/$AF$1*'Network Crash Rates'!$F$8+M27/$AF$1*'Network Crash Rates'!$F$9</f>
        <v>0</v>
      </c>
    </row>
    <row r="28" spans="1:61" x14ac:dyDescent="0.25">
      <c r="A28" s="203">
        <v>2041</v>
      </c>
      <c r="B28" s="219">
        <v>0</v>
      </c>
      <c r="C28" s="219">
        <v>0</v>
      </c>
      <c r="D28" s="219">
        <f t="shared" si="2"/>
        <v>362415.06352803769</v>
      </c>
      <c r="E28" s="219">
        <v>0</v>
      </c>
      <c r="F28" s="219">
        <v>0</v>
      </c>
      <c r="G28" s="296">
        <f t="shared" si="3"/>
        <v>362415.06352803769</v>
      </c>
      <c r="H28" s="219">
        <v>0</v>
      </c>
      <c r="I28" s="219">
        <v>0</v>
      </c>
      <c r="J28" s="296">
        <f t="shared" si="4"/>
        <v>3551667.6225747718</v>
      </c>
      <c r="K28" s="219">
        <v>0</v>
      </c>
      <c r="L28" s="219">
        <v>0</v>
      </c>
      <c r="M28" s="219">
        <v>0</v>
      </c>
      <c r="N28" s="219">
        <v>0</v>
      </c>
      <c r="O28" s="219">
        <v>0</v>
      </c>
      <c r="P28" s="219">
        <f t="shared" si="5"/>
        <v>42281.757411604398</v>
      </c>
      <c r="Q28" s="219">
        <v>0</v>
      </c>
      <c r="R28" s="219">
        <v>0</v>
      </c>
      <c r="S28" s="219">
        <v>0</v>
      </c>
      <c r="T28" s="297">
        <v>0</v>
      </c>
      <c r="U28" s="297">
        <v>0</v>
      </c>
      <c r="V28" s="297">
        <v>0</v>
      </c>
      <c r="W28" s="297">
        <v>0</v>
      </c>
      <c r="X28" s="297">
        <v>0</v>
      </c>
      <c r="Y28" s="297">
        <v>0</v>
      </c>
      <c r="Z28" s="103">
        <f>IFERROR((-1.5*T28^4+2.05*T28^3+0.16*T28^2+0.04*T28+0.025)*N28,0)*'Fixed Factors'!$I$13</f>
        <v>0</v>
      </c>
      <c r="AA28" s="103">
        <f>IFERROR((-1.5*U28^4+2.05*U28^3+0.16*U28^2+0.04*U28+0.025)*O28,0)*'Fixed Factors'!$I$14</f>
        <v>0</v>
      </c>
      <c r="AB28" s="102">
        <f>IFERROR((-1.5*V28^4+2.05*V28^3+0.16*V28^2+0.04*V28+0.025)*P28,0)*'Fixed Factors'!$I$15</f>
        <v>1057.0439352901101</v>
      </c>
      <c r="AC28" s="103">
        <f>IFERROR((-1.5*(W28)^4+2.05*(W28)^3+0.16*(W28)^2+0.04*W28+0.025)*Q28,0)*'Fixed Factors'!$I$13</f>
        <v>0</v>
      </c>
      <c r="AD28" s="103">
        <f>IFERROR((-1.5*(X28)^4+2.05*(X28)^3+0.16*(X28)^2+0.04*X28+0.025)*R28,0)*'Fixed Factors'!$I$14</f>
        <v>0</v>
      </c>
      <c r="AE28" s="103">
        <f>IFERROR((-1.5*(Y28)^4+2.05*(Y28)^3+0.16*(Y28)^2+0.04*Y28+0.025)*S28,0)*'Fixed Factors'!$I$15</f>
        <v>0</v>
      </c>
      <c r="AF28" s="224">
        <f>H28/$AF$1*'Network Crash Rates'!$D$4+I28/$AF$1*'Network Crash Rates'!$D$5+J28/$AF$1*'Network Crash Rates'!$D$6</f>
        <v>2.7617767433141423E-2</v>
      </c>
      <c r="AG28" s="224">
        <f>H28/$AF$1*'Network Crash Rates'!$E$4+I28/$AF$1*'Network Crash Rates'!$E$5+J28/$AF$1*'Network Crash Rates'!$E$6</f>
        <v>1.2428457061704574</v>
      </c>
      <c r="AH28" s="224">
        <f>H28/$AF$1*'Network Crash Rates'!$F$4+I28/$AF$1*'Network Crash Rates'!$F$5+J28/$AF$1*'Network Crash Rates'!$F$6</f>
        <v>4.5018630199803136</v>
      </c>
      <c r="AI28" s="224">
        <f>K28/$AF$1*'Network Crash Rates'!$D$7+L28/$AF$1*'Network Crash Rates'!$D$8+M28/$AF$1*'Network Crash Rates'!$D$9</f>
        <v>0</v>
      </c>
      <c r="AJ28" s="225">
        <f>K28/$AF$1*'Network Crash Rates'!$E$7+L28/$AF$1*'Network Crash Rates'!$E$8+M28/$AF$1*'Network Crash Rates'!$E$9</f>
        <v>0</v>
      </c>
      <c r="AK28" s="225">
        <f>K28/$AF$1*'Network Crash Rates'!$F$7+L28/$AF$1*'Network Crash Rates'!$F$8+M28/$AF$1*'Network Crash Rates'!$F$9</f>
        <v>0</v>
      </c>
    </row>
    <row r="29" spans="1:61" x14ac:dyDescent="0.25">
      <c r="A29" s="203">
        <v>2042</v>
      </c>
      <c r="B29" s="219">
        <v>0</v>
      </c>
      <c r="C29" s="219">
        <v>0</v>
      </c>
      <c r="D29" s="219">
        <f t="shared" si="2"/>
        <v>369374.31426256179</v>
      </c>
      <c r="E29" s="219">
        <v>0</v>
      </c>
      <c r="F29" s="219">
        <v>0</v>
      </c>
      <c r="G29" s="296">
        <f t="shared" si="3"/>
        <v>369374.31426256179</v>
      </c>
      <c r="H29" s="219">
        <v>0</v>
      </c>
      <c r="I29" s="219">
        <v>0</v>
      </c>
      <c r="J29" s="296">
        <f t="shared" si="4"/>
        <v>3619868.2797731077</v>
      </c>
      <c r="K29" s="219">
        <v>0</v>
      </c>
      <c r="L29" s="219">
        <v>0</v>
      </c>
      <c r="M29" s="219">
        <v>0</v>
      </c>
      <c r="N29" s="219">
        <v>0</v>
      </c>
      <c r="O29" s="219">
        <v>0</v>
      </c>
      <c r="P29" s="219">
        <f t="shared" si="5"/>
        <v>43093.669997298872</v>
      </c>
      <c r="Q29" s="219">
        <v>0</v>
      </c>
      <c r="R29" s="219">
        <v>0</v>
      </c>
      <c r="S29" s="219">
        <v>0</v>
      </c>
      <c r="T29" s="297">
        <v>0</v>
      </c>
      <c r="U29" s="297">
        <v>0</v>
      </c>
      <c r="V29" s="297">
        <v>0</v>
      </c>
      <c r="W29" s="297">
        <v>0</v>
      </c>
      <c r="X29" s="297">
        <v>0</v>
      </c>
      <c r="Y29" s="297">
        <v>0</v>
      </c>
      <c r="Z29" s="103">
        <f>IFERROR((-1.5*T29^4+2.05*T29^3+0.16*T29^2+0.04*T29+0.025)*N29,0)*'Fixed Factors'!$I$13</f>
        <v>0</v>
      </c>
      <c r="AA29" s="103">
        <f>IFERROR((-1.5*U29^4+2.05*U29^3+0.16*U29^2+0.04*U29+0.025)*O29,0)*'Fixed Factors'!$I$14</f>
        <v>0</v>
      </c>
      <c r="AB29" s="102">
        <f>IFERROR((-1.5*V29^4+2.05*V29^3+0.16*V29^2+0.04*V29+0.025)*P29,0)*'Fixed Factors'!$I$15</f>
        <v>1077.3417499324719</v>
      </c>
      <c r="AC29" s="103">
        <f>IFERROR((-1.5*(W29)^4+2.05*(W29)^3+0.16*(W29)^2+0.04*W29+0.025)*Q29,0)*'Fixed Factors'!$I$13</f>
        <v>0</v>
      </c>
      <c r="AD29" s="103">
        <f>IFERROR((-1.5*(X29)^4+2.05*(X29)^3+0.16*(X29)^2+0.04*X29+0.025)*R29,0)*'Fixed Factors'!$I$14</f>
        <v>0</v>
      </c>
      <c r="AE29" s="103">
        <f>IFERROR((-1.5*(Y29)^4+2.05*(Y29)^3+0.16*(Y29)^2+0.04*Y29+0.025)*S29,0)*'Fixed Factors'!$I$15</f>
        <v>0</v>
      </c>
      <c r="AF29" s="224">
        <f>H29/$AF$1*'Network Crash Rates'!$D$4+I29/$AF$1*'Network Crash Rates'!$D$5+J29/$AF$1*'Network Crash Rates'!$D$6</f>
        <v>2.8148095743515684E-2</v>
      </c>
      <c r="AG29" s="224">
        <f>H29/$AF$1*'Network Crash Rates'!$E$4+I29/$AF$1*'Network Crash Rates'!$E$5+J29/$AF$1*'Network Crash Rates'!$E$6</f>
        <v>1.2667113667458429</v>
      </c>
      <c r="AH29" s="224">
        <f>H29/$AF$1*'Network Crash Rates'!$F$4+I29/$AF$1*'Network Crash Rates'!$F$5+J29/$AF$1*'Network Crash Rates'!$F$6</f>
        <v>4.5883097400022059</v>
      </c>
      <c r="AI29" s="224">
        <f>K29/$AF$1*'Network Crash Rates'!$D$7+L29/$AF$1*'Network Crash Rates'!$D$8+M29/$AF$1*'Network Crash Rates'!$D$9</f>
        <v>0</v>
      </c>
      <c r="AJ29" s="225">
        <f>K29/$AF$1*'Network Crash Rates'!$E$7+L29/$AF$1*'Network Crash Rates'!$E$8+M29/$AF$1*'Network Crash Rates'!$E$9</f>
        <v>0</v>
      </c>
      <c r="AK29" s="225">
        <f>K29/$AF$1*'Network Crash Rates'!$F$7+L29/$AF$1*'Network Crash Rates'!$F$8+M29/$AF$1*'Network Crash Rates'!$F$9</f>
        <v>0</v>
      </c>
    </row>
    <row r="30" spans="1:61" x14ac:dyDescent="0.25">
      <c r="A30" s="203">
        <v>2043</v>
      </c>
      <c r="B30" s="219">
        <v>0</v>
      </c>
      <c r="C30" s="219">
        <v>0</v>
      </c>
      <c r="D30" s="219">
        <f t="shared" si="2"/>
        <v>376467.19953841675</v>
      </c>
      <c r="E30" s="219">
        <v>0</v>
      </c>
      <c r="F30" s="219">
        <v>0</v>
      </c>
      <c r="G30" s="296">
        <f t="shared" si="3"/>
        <v>376467.19953841675</v>
      </c>
      <c r="H30" s="219">
        <v>0</v>
      </c>
      <c r="I30" s="219">
        <v>0</v>
      </c>
      <c r="J30" s="296">
        <f t="shared" si="4"/>
        <v>3689378.5554764862</v>
      </c>
      <c r="K30" s="219">
        <v>0</v>
      </c>
      <c r="L30" s="219">
        <v>0</v>
      </c>
      <c r="M30" s="219">
        <v>0</v>
      </c>
      <c r="N30" s="219">
        <v>0</v>
      </c>
      <c r="O30" s="219">
        <v>0</v>
      </c>
      <c r="P30" s="219">
        <f t="shared" si="5"/>
        <v>43921.173279481955</v>
      </c>
      <c r="Q30" s="219">
        <v>0</v>
      </c>
      <c r="R30" s="219">
        <v>0</v>
      </c>
      <c r="S30" s="219">
        <v>0</v>
      </c>
      <c r="T30" s="297">
        <v>0</v>
      </c>
      <c r="U30" s="297">
        <v>0</v>
      </c>
      <c r="V30" s="297">
        <v>0</v>
      </c>
      <c r="W30" s="297">
        <v>0</v>
      </c>
      <c r="X30" s="297">
        <v>0</v>
      </c>
      <c r="Y30" s="297">
        <v>0</v>
      </c>
      <c r="Z30" s="103">
        <f>IFERROR((-1.5*T30^4+2.05*T30^3+0.16*T30^2+0.04*T30+0.025)*N30,0)*'Fixed Factors'!$I$13</f>
        <v>0</v>
      </c>
      <c r="AA30" s="103">
        <f>IFERROR((-1.5*U30^4+2.05*U30^3+0.16*U30^2+0.04*U30+0.025)*O30,0)*'Fixed Factors'!$I$14</f>
        <v>0</v>
      </c>
      <c r="AB30" s="102">
        <f>IFERROR((-1.5*V30^4+2.05*V30^3+0.16*V30^2+0.04*V30+0.025)*P30,0)*'Fixed Factors'!$I$15</f>
        <v>1098.0293319870489</v>
      </c>
      <c r="AC30" s="103">
        <f>IFERROR((-1.5*(W30)^4+2.05*(W30)^3+0.16*(W30)^2+0.04*W30+0.025)*Q30,0)*'Fixed Factors'!$I$13</f>
        <v>0</v>
      </c>
      <c r="AD30" s="103">
        <f>IFERROR((-1.5*(X30)^4+2.05*(X30)^3+0.16*(X30)^2+0.04*X30+0.025)*R30,0)*'Fixed Factors'!$I$14</f>
        <v>0</v>
      </c>
      <c r="AE30" s="103">
        <f>IFERROR((-1.5*(Y30)^4+2.05*(Y30)^3+0.16*(Y30)^2+0.04*Y30+0.025)*S30,0)*'Fixed Factors'!$I$15</f>
        <v>0</v>
      </c>
      <c r="AF30" s="224">
        <f>H30/$AF$1*'Network Crash Rates'!$D$4+I30/$AF$1*'Network Crash Rates'!$D$5+J30/$AF$1*'Network Crash Rates'!$D$6</f>
        <v>2.8688607647385157E-2</v>
      </c>
      <c r="AG30" s="224">
        <f>H30/$AF$1*'Network Crash Rates'!$E$4+I30/$AF$1*'Network Crash Rates'!$E$5+J30/$AF$1*'Network Crash Rates'!$E$6</f>
        <v>1.2910353060535533</v>
      </c>
      <c r="AH30" s="224">
        <f>H30/$AF$1*'Network Crash Rates'!$F$4+I30/$AF$1*'Network Crash Rates'!$F$5+J30/$AF$1*'Network Crash Rates'!$F$6</f>
        <v>4.676416447315888</v>
      </c>
      <c r="AI30" s="224">
        <f>K30/$AF$1*'Network Crash Rates'!$D$7+L30/$AF$1*'Network Crash Rates'!$D$8+M30/$AF$1*'Network Crash Rates'!$D$9</f>
        <v>0</v>
      </c>
      <c r="AJ30" s="225">
        <f>K30/$AF$1*'Network Crash Rates'!$E$7+L30/$AF$1*'Network Crash Rates'!$E$8+M30/$AF$1*'Network Crash Rates'!$E$9</f>
        <v>0</v>
      </c>
      <c r="AK30" s="225">
        <f>K30/$AF$1*'Network Crash Rates'!$F$7+L30/$AF$1*'Network Crash Rates'!$F$8+M30/$AF$1*'Network Crash Rates'!$F$9</f>
        <v>0</v>
      </c>
    </row>
    <row r="31" spans="1:61" x14ac:dyDescent="0.25">
      <c r="A31" s="203">
        <v>2044</v>
      </c>
      <c r="B31" s="219">
        <v>0</v>
      </c>
      <c r="C31" s="219">
        <v>0</v>
      </c>
      <c r="D31" s="219">
        <f t="shared" si="2"/>
        <v>383696.28546384012</v>
      </c>
      <c r="E31" s="219">
        <v>0</v>
      </c>
      <c r="F31" s="219">
        <v>0</v>
      </c>
      <c r="G31" s="296">
        <f t="shared" si="3"/>
        <v>383696.28546384012</v>
      </c>
      <c r="H31" s="219">
        <v>0</v>
      </c>
      <c r="I31" s="219">
        <v>0</v>
      </c>
      <c r="J31" s="296">
        <f t="shared" si="4"/>
        <v>3760223.597545635</v>
      </c>
      <c r="K31" s="219">
        <v>0</v>
      </c>
      <c r="L31" s="219">
        <v>0</v>
      </c>
      <c r="M31" s="219">
        <v>0</v>
      </c>
      <c r="N31" s="219">
        <v>0</v>
      </c>
      <c r="O31" s="219">
        <v>0</v>
      </c>
      <c r="P31" s="219">
        <f t="shared" si="5"/>
        <v>44764.566637448013</v>
      </c>
      <c r="Q31" s="219">
        <v>0</v>
      </c>
      <c r="R31" s="219">
        <v>0</v>
      </c>
      <c r="S31" s="219">
        <v>0</v>
      </c>
      <c r="T31" s="297">
        <v>0</v>
      </c>
      <c r="U31" s="297">
        <v>0</v>
      </c>
      <c r="V31" s="297">
        <v>0</v>
      </c>
      <c r="W31" s="297">
        <v>0</v>
      </c>
      <c r="X31" s="297">
        <v>0</v>
      </c>
      <c r="Y31" s="297">
        <v>0</v>
      </c>
      <c r="Z31" s="103">
        <f>IFERROR((-1.5*T31^4+2.05*T31^3+0.16*T31^2+0.04*T31+0.025)*N31,0)*'Fixed Factors'!$I$13</f>
        <v>0</v>
      </c>
      <c r="AA31" s="103">
        <f>IFERROR((-1.5*U31^4+2.05*U31^3+0.16*U31^2+0.04*U31+0.025)*O31,0)*'Fixed Factors'!$I$14</f>
        <v>0</v>
      </c>
      <c r="AB31" s="102">
        <f>IFERROR((-1.5*V31^4+2.05*V31^3+0.16*V31^2+0.04*V31+0.025)*P31,0)*'Fixed Factors'!$I$15</f>
        <v>1119.1141659362004</v>
      </c>
      <c r="AC31" s="103">
        <f>IFERROR((-1.5*(W31)^4+2.05*(W31)^3+0.16*(W31)^2+0.04*W31+0.025)*Q31,0)*'Fixed Factors'!$I$13</f>
        <v>0</v>
      </c>
      <c r="AD31" s="103">
        <f>IFERROR((-1.5*(X31)^4+2.05*(X31)^3+0.16*(X31)^2+0.04*X31+0.025)*R31,0)*'Fixed Factors'!$I$14</f>
        <v>0</v>
      </c>
      <c r="AE31" s="103">
        <f>IFERROR((-1.5*(Y31)^4+2.05*(Y31)^3+0.16*(Y31)^2+0.04*Y31+0.025)*S31,0)*'Fixed Factors'!$I$15</f>
        <v>0</v>
      </c>
      <c r="AF31" s="224">
        <f>H31/$AF$1*'Network Crash Rates'!$D$4+I31/$AF$1*'Network Crash Rates'!$D$5+J31/$AF$1*'Network Crash Rates'!$D$6</f>
        <v>2.9239498694514858E-2</v>
      </c>
      <c r="AG31" s="224">
        <f>H31/$AF$1*'Network Crash Rates'!$E$4+I31/$AF$1*'Network Crash Rates'!$E$5+J31/$AF$1*'Network Crash Rates'!$E$6</f>
        <v>1.3158263241599366</v>
      </c>
      <c r="AH31" s="224">
        <f>H31/$AF$1*'Network Crash Rates'!$F$4+I31/$AF$1*'Network Crash Rates'!$F$5+J31/$AF$1*'Network Crash Rates'!$F$6</f>
        <v>4.7662150177150071</v>
      </c>
      <c r="AI31" s="224">
        <f>K31/$AF$1*'Network Crash Rates'!$D$7+L31/$AF$1*'Network Crash Rates'!$D$8+M31/$AF$1*'Network Crash Rates'!$D$9</f>
        <v>0</v>
      </c>
      <c r="AJ31" s="225">
        <f>K31/$AF$1*'Network Crash Rates'!$E$7+L31/$AF$1*'Network Crash Rates'!$E$8+M31/$AF$1*'Network Crash Rates'!$E$9</f>
        <v>0</v>
      </c>
      <c r="AK31" s="225">
        <f>K31/$AF$1*'Network Crash Rates'!$F$7+L31/$AF$1*'Network Crash Rates'!$F$8+M31/$AF$1*'Network Crash Rates'!$F$9</f>
        <v>0</v>
      </c>
    </row>
    <row r="32" spans="1:61" x14ac:dyDescent="0.25">
      <c r="A32" s="229" t="s">
        <v>73</v>
      </c>
      <c r="B32" s="291">
        <v>0</v>
      </c>
      <c r="C32" s="291">
        <v>0</v>
      </c>
      <c r="D32" s="289">
        <v>1.9202432334840536E-2</v>
      </c>
      <c r="E32" s="291">
        <v>0</v>
      </c>
      <c r="F32" s="291">
        <v>0</v>
      </c>
      <c r="G32" s="289">
        <v>1.9202432334840536E-2</v>
      </c>
      <c r="H32" s="291">
        <v>0</v>
      </c>
      <c r="I32" s="291">
        <v>0</v>
      </c>
      <c r="J32" s="289">
        <v>1.9202432334840536E-2</v>
      </c>
      <c r="K32" s="291">
        <v>0</v>
      </c>
      <c r="L32" s="291">
        <v>0</v>
      </c>
      <c r="M32" s="289">
        <v>1.9202432334840536E-2</v>
      </c>
      <c r="N32" s="291">
        <v>0</v>
      </c>
      <c r="O32" s="291">
        <v>0</v>
      </c>
      <c r="P32" s="289">
        <v>1.9202432334840536E-2</v>
      </c>
      <c r="Q32" s="291">
        <v>0</v>
      </c>
      <c r="R32" s="291">
        <v>0</v>
      </c>
      <c r="S32" s="289">
        <v>1.9202432334840536E-2</v>
      </c>
      <c r="T32" s="204"/>
      <c r="U32" s="204"/>
      <c r="V32" s="204"/>
      <c r="W32" s="204"/>
      <c r="X32" s="204"/>
      <c r="Y32" s="204"/>
      <c r="Z32" s="104"/>
      <c r="AA32" s="104"/>
      <c r="AB32" s="104"/>
      <c r="AC32" s="105"/>
      <c r="AD32" s="105"/>
      <c r="AE32" s="105"/>
      <c r="AR32" s="204" t="str">
        <f t="shared" ref="AR32" si="6">IFERROR((AR14/#REF!)^(1/($A$25-$A$5))-1,"")</f>
        <v/>
      </c>
      <c r="AS32" s="204" t="str">
        <f t="shared" ref="AS32" si="7">IFERROR((AS14/#REF!)^(1/($A$25-$A$5))-1,"")</f>
        <v/>
      </c>
      <c r="AT32" s="204" t="str">
        <f t="shared" ref="AT32" si="8">IFERROR((AT14/#REF!)^(1/($A$25-$A$5))-1,"")</f>
        <v/>
      </c>
      <c r="AU32" s="204" t="str">
        <f t="shared" ref="AU32" si="9">IFERROR((AU14/#REF!)^(1/($A$25-$A$5))-1,"")</f>
        <v/>
      </c>
      <c r="AV32" s="204" t="str">
        <f t="shared" ref="AV32" si="10">IFERROR((AV14/#REF!)^(1/($A$25-$A$5))-1,"")</f>
        <v/>
      </c>
      <c r="AW32" s="204" t="str">
        <f t="shared" ref="AW32" si="11">IFERROR((AW14/#REF!)^(1/($A$25-$A$5))-1,"")</f>
        <v/>
      </c>
      <c r="AX32" s="227"/>
      <c r="AY32" s="227"/>
      <c r="AZ32" s="227"/>
      <c r="BA32" s="204" t="str">
        <f t="shared" ref="BA32:BF32" si="12">IFERROR((BA14/#REF!)^(1/($A$25-$A$5))-1,"")</f>
        <v/>
      </c>
      <c r="BB32" s="204" t="str">
        <f t="shared" si="12"/>
        <v/>
      </c>
      <c r="BC32" s="204" t="str">
        <f t="shared" si="12"/>
        <v/>
      </c>
      <c r="BD32" s="204" t="str">
        <f t="shared" si="12"/>
        <v/>
      </c>
      <c r="BE32" s="204" t="str">
        <f t="shared" si="12"/>
        <v/>
      </c>
      <c r="BF32" s="204" t="str">
        <f t="shared" si="12"/>
        <v/>
      </c>
      <c r="BG32" s="228"/>
      <c r="BH32" s="228"/>
      <c r="BI32" s="228"/>
    </row>
    <row r="33" spans="2:61" x14ac:dyDescent="0.25">
      <c r="B33" s="54" t="s">
        <v>74</v>
      </c>
      <c r="C33" s="107"/>
      <c r="D33" s="107"/>
      <c r="H33" s="106"/>
      <c r="I33" s="106"/>
      <c r="J33" s="106"/>
      <c r="K33" s="109"/>
      <c r="L33" s="109"/>
      <c r="M33" s="109"/>
      <c r="N33" s="106"/>
      <c r="O33" s="106"/>
      <c r="P33" s="106"/>
      <c r="Q33" s="109"/>
      <c r="R33" s="109"/>
      <c r="S33" s="109"/>
      <c r="V33" s="106"/>
      <c r="W33" s="108"/>
      <c r="X33" s="108"/>
      <c r="Y33" s="108"/>
      <c r="AC33" s="106"/>
      <c r="AD33" s="106"/>
      <c r="AE33" s="106"/>
      <c r="AX33" s="227"/>
      <c r="AY33" s="227"/>
      <c r="AZ33" s="227"/>
      <c r="BG33" s="228"/>
      <c r="BH33" s="228"/>
      <c r="BI33" s="228"/>
    </row>
    <row r="34" spans="2:61" x14ac:dyDescent="0.25">
      <c r="B34" s="109" t="s">
        <v>299</v>
      </c>
      <c r="I34" s="106"/>
      <c r="K34" s="109"/>
      <c r="L34" s="109"/>
      <c r="M34" s="109"/>
      <c r="O34" s="106"/>
      <c r="Q34" s="109"/>
      <c r="R34" s="109"/>
      <c r="S34" s="109"/>
      <c r="W34" s="106"/>
      <c r="X34" s="106"/>
      <c r="Y34" s="106"/>
      <c r="AX34" s="227"/>
      <c r="AY34" s="227"/>
      <c r="AZ34" s="227"/>
      <c r="BG34" s="228"/>
      <c r="BH34" s="228"/>
      <c r="BI34" s="228"/>
    </row>
    <row r="35" spans="2:61" x14ac:dyDescent="0.25">
      <c r="G35" s="97"/>
      <c r="H35" s="97"/>
      <c r="I35" s="110"/>
    </row>
  </sheetData>
  <mergeCells count="24">
    <mergeCell ref="AI3:AK3"/>
    <mergeCell ref="B3:D3"/>
    <mergeCell ref="E3:G3"/>
    <mergeCell ref="H3:J3"/>
    <mergeCell ref="K3:M3"/>
    <mergeCell ref="N3:P3"/>
    <mergeCell ref="Q3:S3"/>
    <mergeCell ref="T3:V3"/>
    <mergeCell ref="W3:Y3"/>
    <mergeCell ref="Z3:AB3"/>
    <mergeCell ref="AC3:AE3"/>
    <mergeCell ref="AF3:AH3"/>
    <mergeCell ref="AI2:AK2"/>
    <mergeCell ref="B2:D2"/>
    <mergeCell ref="E2:G2"/>
    <mergeCell ref="H2:J2"/>
    <mergeCell ref="K2:M2"/>
    <mergeCell ref="N2:P2"/>
    <mergeCell ref="Q2:S2"/>
    <mergeCell ref="T2:V2"/>
    <mergeCell ref="W2:Y2"/>
    <mergeCell ref="Z2:AB2"/>
    <mergeCell ref="AC2:AE2"/>
    <mergeCell ref="AF2:AH2"/>
  </mergeCells>
  <pageMargins left="0.7" right="0.7" top="0.75" bottom="0.75" header="0.3" footer="0.3"/>
  <pageSetup scale="68" fitToWidth="0" orientation="landscape" r:id="rId1"/>
  <colBreaks count="4" manualBreakCount="4">
    <brk id="7" max="1048575" man="1"/>
    <brk id="10" max="1048575" man="1"/>
    <brk id="13" max="1048575" man="1"/>
    <brk id="25"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32731-DA7F-439C-893A-0C64EB2A123C}">
  <sheetPr>
    <tabColor rgb="FFC00000"/>
  </sheetPr>
  <dimension ref="B3:AC51"/>
  <sheetViews>
    <sheetView zoomScaleNormal="100" workbookViewId="0">
      <selection activeCell="R6" sqref="R6"/>
    </sheetView>
  </sheetViews>
  <sheetFormatPr defaultRowHeight="15" x14ac:dyDescent="0.25"/>
  <cols>
    <col min="1" max="1" width="2.85546875" style="160" customWidth="1"/>
    <col min="2" max="2" width="7.5703125" style="160" customWidth="1"/>
    <col min="3" max="3" width="19.42578125" style="160" bestFit="1" customWidth="1"/>
    <col min="4" max="4" width="15.85546875" style="160" customWidth="1"/>
    <col min="5" max="5" width="15.7109375" style="160" customWidth="1"/>
    <col min="6" max="6" width="3.85546875" style="160" customWidth="1"/>
    <col min="7" max="7" width="12.85546875" style="160" customWidth="1"/>
    <col min="8" max="9" width="9.140625" style="160"/>
    <col min="10" max="10" width="5.85546875" style="160" customWidth="1"/>
    <col min="11" max="11" width="9.140625" style="160"/>
    <col min="12" max="12" width="3" style="160" bestFit="1" customWidth="1"/>
    <col min="13" max="13" width="20.5703125" style="160" bestFit="1" customWidth="1"/>
    <col min="14" max="14" width="5" style="160" bestFit="1" customWidth="1"/>
    <col min="15" max="15" width="4.85546875" style="160" customWidth="1"/>
    <col min="16" max="16" width="8.28515625" style="160" customWidth="1"/>
    <col min="17" max="17" width="9.140625" style="160"/>
    <col min="18" max="18" width="8.5703125" style="160" customWidth="1"/>
    <col min="19" max="19" width="8.7109375" style="160" customWidth="1"/>
    <col min="20" max="20" width="4.28515625" style="160" customWidth="1"/>
    <col min="21" max="21" width="7.140625" style="160" customWidth="1"/>
    <col min="22" max="22" width="19.85546875" style="160" bestFit="1" customWidth="1"/>
    <col min="23" max="24" width="10.140625" style="164" bestFit="1" customWidth="1"/>
    <col min="25" max="25" width="5.140625" style="164" bestFit="1" customWidth="1"/>
    <col min="26" max="26" width="7.28515625" style="164" bestFit="1" customWidth="1"/>
    <col min="27" max="27" width="9.140625" style="160"/>
    <col min="28" max="28" width="25" style="160" bestFit="1" customWidth="1"/>
    <col min="29" max="29" width="12" style="160" bestFit="1" customWidth="1"/>
    <col min="30" max="16384" width="9.140625" style="160"/>
  </cols>
  <sheetData>
    <row r="3" spans="2:29" x14ac:dyDescent="0.25">
      <c r="B3" s="159" t="s">
        <v>195</v>
      </c>
      <c r="F3" s="163"/>
      <c r="P3" s="161"/>
      <c r="V3" s="159" t="s">
        <v>196</v>
      </c>
    </row>
    <row r="4" spans="2:29" ht="15" customHeight="1" x14ac:dyDescent="0.25">
      <c r="B4" s="366" t="s">
        <v>133</v>
      </c>
      <c r="C4" s="366"/>
      <c r="D4" s="366"/>
      <c r="E4" s="366"/>
      <c r="G4" s="366" t="s">
        <v>134</v>
      </c>
      <c r="H4" s="366"/>
      <c r="I4" s="366"/>
      <c r="K4" s="367" t="s">
        <v>135</v>
      </c>
      <c r="L4" s="367"/>
      <c r="M4" s="367"/>
      <c r="N4" s="367"/>
      <c r="P4" s="366" t="s">
        <v>136</v>
      </c>
      <c r="Q4" s="366"/>
      <c r="R4" s="366"/>
      <c r="S4" s="366"/>
      <c r="W4" s="368" t="s">
        <v>137</v>
      </c>
      <c r="X4" s="368"/>
      <c r="Y4" s="368" t="s">
        <v>138</v>
      </c>
      <c r="Z4" s="368"/>
      <c r="AB4" s="370" t="s">
        <v>139</v>
      </c>
      <c r="AC4" s="370"/>
    </row>
    <row r="5" spans="2:29" ht="30" x14ac:dyDescent="0.25">
      <c r="B5" s="162" t="s">
        <v>140</v>
      </c>
      <c r="C5" s="162" t="s">
        <v>141</v>
      </c>
      <c r="D5" s="170" t="s">
        <v>142</v>
      </c>
      <c r="E5" s="170" t="s">
        <v>143</v>
      </c>
      <c r="G5" s="371" t="s">
        <v>146</v>
      </c>
      <c r="H5" s="162" t="s">
        <v>137</v>
      </c>
      <c r="I5" s="218">
        <f>'Fixed Factors'!J15*G11</f>
        <v>12.025</v>
      </c>
      <c r="J5" s="160" t="s">
        <v>227</v>
      </c>
      <c r="K5" s="367"/>
      <c r="L5" s="367"/>
      <c r="M5" s="367"/>
      <c r="N5" s="367"/>
      <c r="R5" s="159" t="s">
        <v>7</v>
      </c>
      <c r="S5" s="159" t="s">
        <v>144</v>
      </c>
      <c r="U5" s="172" t="s">
        <v>140</v>
      </c>
      <c r="V5" s="172" t="s">
        <v>141</v>
      </c>
      <c r="W5" s="173" t="s">
        <v>7</v>
      </c>
      <c r="X5" s="173" t="s">
        <v>144</v>
      </c>
      <c r="Y5" s="173" t="s">
        <v>7</v>
      </c>
      <c r="Z5" s="173" t="s">
        <v>144</v>
      </c>
      <c r="AB5" s="370"/>
      <c r="AC5" s="370"/>
    </row>
    <row r="6" spans="2:29" x14ac:dyDescent="0.25">
      <c r="B6" s="162">
        <v>1</v>
      </c>
      <c r="C6" s="162" t="s">
        <v>145</v>
      </c>
      <c r="D6" s="168">
        <v>5.7098397519439502E-4</v>
      </c>
      <c r="E6" s="162"/>
      <c r="G6" s="371"/>
      <c r="H6" s="162" t="s">
        <v>138</v>
      </c>
      <c r="I6" s="162">
        <v>3000</v>
      </c>
      <c r="K6" s="162" t="s">
        <v>147</v>
      </c>
      <c r="L6" s="162">
        <v>1</v>
      </c>
      <c r="M6" s="162" t="s">
        <v>145</v>
      </c>
      <c r="N6" s="162">
        <v>1.5</v>
      </c>
      <c r="P6" s="371" t="s">
        <v>148</v>
      </c>
      <c r="Q6" s="162" t="s">
        <v>137</v>
      </c>
      <c r="R6" s="171">
        <f>'Custom Truck TDC'!P12</f>
        <v>31187.876594642323</v>
      </c>
      <c r="S6" s="171">
        <f>'Custom Truck TDC'!S12</f>
        <v>0</v>
      </c>
      <c r="U6" s="162">
        <v>1</v>
      </c>
      <c r="V6" s="162" t="s">
        <v>145</v>
      </c>
      <c r="W6" s="165">
        <f>R$6*$I$5*$I$7*$D6*$N6</f>
        <v>536.25640752811216</v>
      </c>
      <c r="X6" s="165">
        <f t="shared" ref="X6:X48" si="0">S$6*$I$5*$I$7*$D6*$N6</f>
        <v>0</v>
      </c>
      <c r="Y6" s="165">
        <f t="shared" ref="Y6:Z48" si="1">R$7*$I$6*$I$8*$E6*$N6</f>
        <v>0</v>
      </c>
      <c r="Z6" s="165">
        <f t="shared" si="1"/>
        <v>0</v>
      </c>
      <c r="AB6" s="160" t="s">
        <v>149</v>
      </c>
      <c r="AC6" s="166">
        <f>SUM(W6:W48)-SUM(X6:X48)</f>
        <v>2580410.2482153615</v>
      </c>
    </row>
    <row r="7" spans="2:29" x14ac:dyDescent="0.25">
      <c r="B7" s="162">
        <v>2</v>
      </c>
      <c r="C7" s="162" t="s">
        <v>150</v>
      </c>
      <c r="D7" s="168">
        <v>9.0975302737206199E-4</v>
      </c>
      <c r="E7" s="162"/>
      <c r="G7" s="371" t="s">
        <v>153</v>
      </c>
      <c r="H7" s="162" t="s">
        <v>137</v>
      </c>
      <c r="I7" s="162">
        <v>1.6695</v>
      </c>
      <c r="K7" s="162" t="s">
        <v>147</v>
      </c>
      <c r="L7" s="162">
        <v>2</v>
      </c>
      <c r="M7" s="162" t="s">
        <v>150</v>
      </c>
      <c r="N7" s="162">
        <v>0.53</v>
      </c>
      <c r="P7" s="371"/>
      <c r="Q7" s="162" t="s">
        <v>138</v>
      </c>
      <c r="R7" s="162"/>
      <c r="S7" s="162"/>
      <c r="U7" s="162">
        <v>2</v>
      </c>
      <c r="V7" s="162" t="s">
        <v>150</v>
      </c>
      <c r="W7" s="165">
        <f t="shared" ref="W7:W48" si="2">R$6*$I$5*$I$7*$D7*$N7</f>
        <v>301.89553827208977</v>
      </c>
      <c r="X7" s="165">
        <f t="shared" si="0"/>
        <v>0</v>
      </c>
      <c r="Y7" s="165">
        <f t="shared" si="1"/>
        <v>0</v>
      </c>
      <c r="Z7" s="165">
        <f t="shared" si="1"/>
        <v>0</v>
      </c>
      <c r="AB7" s="160" t="s">
        <v>151</v>
      </c>
      <c r="AC7" s="166">
        <f>SUM(Y6:Y48)-SUM(Z6:Z48)</f>
        <v>0</v>
      </c>
    </row>
    <row r="8" spans="2:29" x14ac:dyDescent="0.25">
      <c r="B8" s="162">
        <v>3</v>
      </c>
      <c r="C8" s="162" t="s">
        <v>152</v>
      </c>
      <c r="D8" s="168">
        <v>2.75844009593129E-4</v>
      </c>
      <c r="E8" s="162"/>
      <c r="G8" s="371"/>
      <c r="H8" s="162" t="s">
        <v>138</v>
      </c>
      <c r="I8" s="162">
        <v>0.55649999999999999</v>
      </c>
      <c r="K8" s="162" t="s">
        <v>147</v>
      </c>
      <c r="L8" s="162">
        <v>3</v>
      </c>
      <c r="M8" s="162" t="s">
        <v>152</v>
      </c>
      <c r="N8" s="162">
        <v>0.83</v>
      </c>
      <c r="U8" s="162">
        <v>3</v>
      </c>
      <c r="V8" s="162" t="s">
        <v>152</v>
      </c>
      <c r="W8" s="165">
        <f t="shared" si="2"/>
        <v>143.35041841285312</v>
      </c>
      <c r="X8" s="165">
        <f t="shared" si="0"/>
        <v>0</v>
      </c>
      <c r="Y8" s="165">
        <f t="shared" si="1"/>
        <v>0</v>
      </c>
      <c r="Z8" s="165">
        <f t="shared" si="1"/>
        <v>0</v>
      </c>
    </row>
    <row r="9" spans="2:29" x14ac:dyDescent="0.25">
      <c r="B9" s="162">
        <v>4</v>
      </c>
      <c r="C9" s="162" t="s">
        <v>154</v>
      </c>
      <c r="D9" s="168">
        <v>5.6251097703352603E-4</v>
      </c>
      <c r="E9" s="162"/>
      <c r="K9" s="162" t="s">
        <v>147</v>
      </c>
      <c r="L9" s="162">
        <v>4</v>
      </c>
      <c r="M9" s="162" t="s">
        <v>154</v>
      </c>
      <c r="N9" s="162">
        <v>0.68</v>
      </c>
      <c r="P9" s="161" t="s">
        <v>228</v>
      </c>
      <c r="U9" s="162">
        <v>4</v>
      </c>
      <c r="V9" s="162" t="s">
        <v>154</v>
      </c>
      <c r="W9" s="165">
        <f t="shared" si="2"/>
        <v>239.49542966043413</v>
      </c>
      <c r="X9" s="165">
        <f t="shared" si="0"/>
        <v>0</v>
      </c>
      <c r="Y9" s="165">
        <f t="shared" si="1"/>
        <v>0</v>
      </c>
      <c r="Z9" s="165">
        <f t="shared" si="1"/>
        <v>0</v>
      </c>
    </row>
    <row r="10" spans="2:29" x14ac:dyDescent="0.25">
      <c r="B10" s="162">
        <v>5</v>
      </c>
      <c r="C10" s="162" t="s">
        <v>155</v>
      </c>
      <c r="D10" s="168">
        <v>6.4392603235319297E-5</v>
      </c>
      <c r="E10" s="162"/>
      <c r="G10" s="160" t="s">
        <v>300</v>
      </c>
      <c r="K10" s="162" t="s">
        <v>147</v>
      </c>
      <c r="L10" s="162">
        <v>5</v>
      </c>
      <c r="M10" s="162" t="s">
        <v>155</v>
      </c>
      <c r="N10" s="162">
        <v>1.87</v>
      </c>
      <c r="U10" s="162">
        <v>5</v>
      </c>
      <c r="V10" s="162" t="s">
        <v>155</v>
      </c>
      <c r="W10" s="165">
        <f t="shared" si="2"/>
        <v>75.39367358721455</v>
      </c>
      <c r="X10" s="165">
        <f t="shared" si="0"/>
        <v>0</v>
      </c>
      <c r="Y10" s="165">
        <f t="shared" si="1"/>
        <v>0</v>
      </c>
      <c r="Z10" s="165">
        <f t="shared" si="1"/>
        <v>0</v>
      </c>
    </row>
    <row r="11" spans="2:29" x14ac:dyDescent="0.25">
      <c r="B11" s="162">
        <v>6</v>
      </c>
      <c r="C11" s="162" t="s">
        <v>156</v>
      </c>
      <c r="D11" s="168">
        <v>4.3185500544495901E-5</v>
      </c>
      <c r="E11" s="162"/>
      <c r="G11" s="218">
        <v>0.5</v>
      </c>
      <c r="K11" s="162" t="s">
        <v>147</v>
      </c>
      <c r="L11" s="162">
        <v>6</v>
      </c>
      <c r="M11" s="162" t="s">
        <v>156</v>
      </c>
      <c r="N11" s="162">
        <v>0.91</v>
      </c>
      <c r="U11" s="162">
        <v>6</v>
      </c>
      <c r="V11" s="162" t="s">
        <v>156</v>
      </c>
      <c r="W11" s="165">
        <f t="shared" si="2"/>
        <v>24.605753308556313</v>
      </c>
      <c r="X11" s="165">
        <f t="shared" si="0"/>
        <v>0</v>
      </c>
      <c r="Y11" s="165">
        <f t="shared" si="1"/>
        <v>0</v>
      </c>
      <c r="Z11" s="165">
        <f t="shared" si="1"/>
        <v>0</v>
      </c>
    </row>
    <row r="12" spans="2:29" x14ac:dyDescent="0.25">
      <c r="B12" s="162">
        <v>7</v>
      </c>
      <c r="C12" s="162" t="s">
        <v>157</v>
      </c>
      <c r="D12" s="168">
        <v>1.1804899986600501E-4</v>
      </c>
      <c r="E12" s="162"/>
      <c r="G12" s="369" t="s">
        <v>301</v>
      </c>
      <c r="H12" s="369"/>
      <c r="I12" s="369"/>
      <c r="K12" s="162" t="s">
        <v>147</v>
      </c>
      <c r="L12" s="162">
        <v>7</v>
      </c>
      <c r="M12" s="162" t="s">
        <v>157</v>
      </c>
      <c r="N12" s="162">
        <v>1.01</v>
      </c>
      <c r="U12" s="162">
        <v>7</v>
      </c>
      <c r="V12" s="162" t="s">
        <v>157</v>
      </c>
      <c r="W12" s="165">
        <f t="shared" si="2"/>
        <v>74.65192332758177</v>
      </c>
      <c r="X12" s="165">
        <f t="shared" si="0"/>
        <v>0</v>
      </c>
      <c r="Y12" s="165">
        <f t="shared" si="1"/>
        <v>0</v>
      </c>
      <c r="Z12" s="165">
        <f t="shared" si="1"/>
        <v>0</v>
      </c>
    </row>
    <row r="13" spans="2:29" x14ac:dyDescent="0.25">
      <c r="B13" s="162">
        <v>8</v>
      </c>
      <c r="C13" s="162" t="s">
        <v>158</v>
      </c>
      <c r="D13" s="168">
        <v>3.0757801141589902E-4</v>
      </c>
      <c r="E13" s="162"/>
      <c r="G13" s="369"/>
      <c r="H13" s="369"/>
      <c r="I13" s="369"/>
      <c r="K13" s="162" t="s">
        <v>147</v>
      </c>
      <c r="L13" s="162">
        <v>8</v>
      </c>
      <c r="M13" s="162" t="s">
        <v>158</v>
      </c>
      <c r="N13" s="162">
        <v>1.38</v>
      </c>
      <c r="U13" s="162">
        <v>8</v>
      </c>
      <c r="V13" s="162" t="s">
        <v>158</v>
      </c>
      <c r="W13" s="165">
        <f t="shared" si="2"/>
        <v>265.7612676957275</v>
      </c>
      <c r="X13" s="165">
        <f t="shared" si="0"/>
        <v>0</v>
      </c>
      <c r="Y13" s="165">
        <f t="shared" si="1"/>
        <v>0</v>
      </c>
      <c r="Z13" s="165">
        <f t="shared" si="1"/>
        <v>0</v>
      </c>
    </row>
    <row r="14" spans="2:29" x14ac:dyDescent="0.25">
      <c r="B14" s="162">
        <v>9</v>
      </c>
      <c r="C14" s="162" t="s">
        <v>159</v>
      </c>
      <c r="D14" s="168">
        <v>6.8586101406253901E-5</v>
      </c>
      <c r="E14" s="162"/>
      <c r="K14" s="162" t="s">
        <v>147</v>
      </c>
      <c r="L14" s="162">
        <v>9</v>
      </c>
      <c r="M14" s="162" t="s">
        <v>159</v>
      </c>
      <c r="N14" s="162">
        <v>1.5</v>
      </c>
      <c r="U14" s="162">
        <v>9</v>
      </c>
      <c r="V14" s="162" t="s">
        <v>159</v>
      </c>
      <c r="W14" s="165">
        <f t="shared" si="2"/>
        <v>64.414656004933647</v>
      </c>
      <c r="X14" s="165">
        <f t="shared" si="0"/>
        <v>0</v>
      </c>
      <c r="Y14" s="165">
        <f t="shared" si="1"/>
        <v>0</v>
      </c>
      <c r="Z14" s="165">
        <f t="shared" si="1"/>
        <v>0</v>
      </c>
    </row>
    <row r="15" spans="2:29" x14ac:dyDescent="0.25">
      <c r="B15" s="162">
        <v>10</v>
      </c>
      <c r="C15" s="162" t="s">
        <v>160</v>
      </c>
      <c r="D15" s="168">
        <v>1.6962800145847699E-5</v>
      </c>
      <c r="E15" s="162"/>
      <c r="K15" s="162" t="s">
        <v>147</v>
      </c>
      <c r="L15" s="162">
        <v>10</v>
      </c>
      <c r="M15" s="162" t="s">
        <v>160</v>
      </c>
      <c r="N15" s="162">
        <v>1.42</v>
      </c>
      <c r="U15" s="162">
        <v>10</v>
      </c>
      <c r="V15" s="162" t="s">
        <v>160</v>
      </c>
      <c r="W15" s="165">
        <f t="shared" si="2"/>
        <v>15.081453702701467</v>
      </c>
      <c r="X15" s="165">
        <f t="shared" si="0"/>
        <v>0</v>
      </c>
      <c r="Y15" s="165">
        <f t="shared" si="1"/>
        <v>0</v>
      </c>
      <c r="Z15" s="165">
        <f t="shared" si="1"/>
        <v>0</v>
      </c>
    </row>
    <row r="16" spans="2:29" x14ac:dyDescent="0.25">
      <c r="B16" s="162">
        <v>11</v>
      </c>
      <c r="C16" s="162" t="s">
        <v>161</v>
      </c>
      <c r="D16" s="168">
        <v>7.0328998845070601E-5</v>
      </c>
      <c r="E16" s="162"/>
      <c r="K16" s="162" t="s">
        <v>147</v>
      </c>
      <c r="L16" s="162">
        <v>11</v>
      </c>
      <c r="M16" s="162" t="s">
        <v>161</v>
      </c>
      <c r="N16" s="162">
        <v>0.18</v>
      </c>
      <c r="U16" s="162">
        <v>11</v>
      </c>
      <c r="V16" s="162" t="s">
        <v>161</v>
      </c>
      <c r="W16" s="165">
        <f t="shared" si="2"/>
        <v>7.926185932528047</v>
      </c>
      <c r="X16" s="165">
        <f t="shared" si="0"/>
        <v>0</v>
      </c>
      <c r="Y16" s="165">
        <f t="shared" si="1"/>
        <v>0</v>
      </c>
      <c r="Z16" s="165">
        <f t="shared" si="1"/>
        <v>0</v>
      </c>
    </row>
    <row r="17" spans="2:26" x14ac:dyDescent="0.25">
      <c r="B17" s="162">
        <v>12</v>
      </c>
      <c r="C17" s="162" t="s">
        <v>162</v>
      </c>
      <c r="D17" s="168">
        <v>5.9115001931786505E-4</v>
      </c>
      <c r="E17" s="162"/>
      <c r="K17" s="162" t="s">
        <v>147</v>
      </c>
      <c r="L17" s="162">
        <v>12</v>
      </c>
      <c r="M17" s="162" t="s">
        <v>162</v>
      </c>
      <c r="N17" s="162">
        <v>0.14000000000000001</v>
      </c>
      <c r="U17" s="162">
        <v>12</v>
      </c>
      <c r="V17" s="162" t="s">
        <v>162</v>
      </c>
      <c r="W17" s="165">
        <f t="shared" si="2"/>
        <v>51.818287870081726</v>
      </c>
      <c r="X17" s="165">
        <f t="shared" si="0"/>
        <v>0</v>
      </c>
      <c r="Y17" s="165">
        <f t="shared" si="1"/>
        <v>0</v>
      </c>
      <c r="Z17" s="165">
        <f t="shared" si="1"/>
        <v>0</v>
      </c>
    </row>
    <row r="18" spans="2:26" x14ac:dyDescent="0.25">
      <c r="B18" s="162">
        <v>13</v>
      </c>
      <c r="C18" s="162" t="s">
        <v>163</v>
      </c>
      <c r="D18" s="168">
        <v>0</v>
      </c>
      <c r="E18" s="162"/>
      <c r="K18" s="162" t="s">
        <v>147</v>
      </c>
      <c r="L18" s="162">
        <v>13</v>
      </c>
      <c r="M18" s="162" t="s">
        <v>163</v>
      </c>
      <c r="N18" s="162">
        <v>0.39</v>
      </c>
      <c r="U18" s="162">
        <v>13</v>
      </c>
      <c r="V18" s="162" t="s">
        <v>163</v>
      </c>
      <c r="W18" s="165">
        <f t="shared" si="2"/>
        <v>0</v>
      </c>
      <c r="X18" s="165">
        <f t="shared" si="0"/>
        <v>0</v>
      </c>
      <c r="Y18" s="165">
        <f t="shared" si="1"/>
        <v>0</v>
      </c>
      <c r="Z18" s="165">
        <f t="shared" si="1"/>
        <v>0</v>
      </c>
    </row>
    <row r="19" spans="2:26" x14ac:dyDescent="0.25">
      <c r="B19" s="162">
        <v>14</v>
      </c>
      <c r="C19" s="162" t="s">
        <v>164</v>
      </c>
      <c r="D19" s="168">
        <v>0</v>
      </c>
      <c r="E19" s="162"/>
      <c r="K19" s="162" t="s">
        <v>147</v>
      </c>
      <c r="L19" s="162">
        <v>14</v>
      </c>
      <c r="M19" s="162" t="s">
        <v>164</v>
      </c>
      <c r="N19" s="162">
        <v>0.18</v>
      </c>
      <c r="U19" s="162">
        <v>14</v>
      </c>
      <c r="V19" s="162" t="s">
        <v>164</v>
      </c>
      <c r="W19" s="165">
        <f t="shared" si="2"/>
        <v>0</v>
      </c>
      <c r="X19" s="165">
        <f t="shared" si="0"/>
        <v>0</v>
      </c>
      <c r="Y19" s="165">
        <f t="shared" si="1"/>
        <v>0</v>
      </c>
      <c r="Z19" s="165">
        <f t="shared" si="1"/>
        <v>0</v>
      </c>
    </row>
    <row r="20" spans="2:26" x14ac:dyDescent="0.25">
      <c r="B20" s="162">
        <v>15</v>
      </c>
      <c r="C20" s="162" t="s">
        <v>165</v>
      </c>
      <c r="D20" s="168">
        <v>0</v>
      </c>
      <c r="E20" s="162"/>
      <c r="K20" s="162" t="s">
        <v>147</v>
      </c>
      <c r="L20" s="162">
        <v>15</v>
      </c>
      <c r="M20" s="162" t="s">
        <v>165</v>
      </c>
      <c r="N20" s="162">
        <v>0.3</v>
      </c>
      <c r="U20" s="162">
        <v>15</v>
      </c>
      <c r="V20" s="162" t="s">
        <v>165</v>
      </c>
      <c r="W20" s="165">
        <f t="shared" si="2"/>
        <v>0</v>
      </c>
      <c r="X20" s="165">
        <f t="shared" si="0"/>
        <v>0</v>
      </c>
      <c r="Y20" s="165">
        <f t="shared" si="1"/>
        <v>0</v>
      </c>
      <c r="Z20" s="165">
        <f t="shared" si="1"/>
        <v>0</v>
      </c>
    </row>
    <row r="21" spans="2:26" x14ac:dyDescent="0.25">
      <c r="B21" s="162">
        <v>16</v>
      </c>
      <c r="C21" s="162" t="s">
        <v>166</v>
      </c>
      <c r="D21" s="168">
        <v>0</v>
      </c>
      <c r="E21" s="162"/>
      <c r="K21" s="162" t="s">
        <v>147</v>
      </c>
      <c r="L21" s="162">
        <v>16</v>
      </c>
      <c r="M21" s="162" t="s">
        <v>166</v>
      </c>
      <c r="N21" s="162">
        <v>0.5</v>
      </c>
      <c r="U21" s="162">
        <v>16</v>
      </c>
      <c r="V21" s="162" t="s">
        <v>166</v>
      </c>
      <c r="W21" s="165">
        <f t="shared" si="2"/>
        <v>0</v>
      </c>
      <c r="X21" s="165">
        <f t="shared" si="0"/>
        <v>0</v>
      </c>
      <c r="Y21" s="165">
        <f t="shared" si="1"/>
        <v>0</v>
      </c>
      <c r="Z21" s="165">
        <f t="shared" si="1"/>
        <v>0</v>
      </c>
    </row>
    <row r="22" spans="2:26" x14ac:dyDescent="0.25">
      <c r="B22" s="162">
        <v>17</v>
      </c>
      <c r="C22" s="162" t="s">
        <v>17</v>
      </c>
      <c r="D22" s="168">
        <v>0</v>
      </c>
      <c r="E22" s="162"/>
      <c r="K22" s="162" t="s">
        <v>147</v>
      </c>
      <c r="L22" s="162">
        <v>17</v>
      </c>
      <c r="M22" s="162" t="s">
        <v>17</v>
      </c>
      <c r="N22" s="162">
        <v>0.71</v>
      </c>
      <c r="U22" s="162">
        <v>17</v>
      </c>
      <c r="V22" s="162" t="s">
        <v>17</v>
      </c>
      <c r="W22" s="165">
        <f t="shared" si="2"/>
        <v>0</v>
      </c>
      <c r="X22" s="165">
        <f t="shared" si="0"/>
        <v>0</v>
      </c>
      <c r="Y22" s="165">
        <f t="shared" si="1"/>
        <v>0</v>
      </c>
      <c r="Z22" s="165">
        <f t="shared" si="1"/>
        <v>0</v>
      </c>
    </row>
    <row r="23" spans="2:26" x14ac:dyDescent="0.25">
      <c r="B23" s="162">
        <v>18</v>
      </c>
      <c r="C23" s="162" t="s">
        <v>167</v>
      </c>
      <c r="D23" s="168">
        <v>7.7573902672156702E-4</v>
      </c>
      <c r="E23" s="162"/>
      <c r="K23" s="162" t="s">
        <v>147</v>
      </c>
      <c r="L23" s="162">
        <v>18</v>
      </c>
      <c r="M23" s="162" t="s">
        <v>167</v>
      </c>
      <c r="N23" s="162">
        <v>0.57999999999999996</v>
      </c>
      <c r="U23" s="162">
        <v>18</v>
      </c>
      <c r="V23" s="162" t="s">
        <v>167</v>
      </c>
      <c r="W23" s="165">
        <f t="shared" si="2"/>
        <v>281.709147948576</v>
      </c>
      <c r="X23" s="165">
        <f t="shared" si="0"/>
        <v>0</v>
      </c>
      <c r="Y23" s="165">
        <f t="shared" si="1"/>
        <v>0</v>
      </c>
      <c r="Z23" s="165">
        <f t="shared" si="1"/>
        <v>0</v>
      </c>
    </row>
    <row r="24" spans="2:26" x14ac:dyDescent="0.25">
      <c r="B24" s="162">
        <v>19</v>
      </c>
      <c r="C24" s="162" t="s">
        <v>168</v>
      </c>
      <c r="D24" s="168">
        <v>1.56084995251149E-3</v>
      </c>
      <c r="E24" s="162"/>
      <c r="K24" s="162" t="s">
        <v>147</v>
      </c>
      <c r="L24" s="162">
        <v>19</v>
      </c>
      <c r="M24" s="162" t="s">
        <v>168</v>
      </c>
      <c r="N24" s="162">
        <v>0.63</v>
      </c>
      <c r="U24" s="162">
        <v>19</v>
      </c>
      <c r="V24" s="162" t="s">
        <v>168</v>
      </c>
      <c r="W24" s="165">
        <f t="shared" si="2"/>
        <v>615.68563449524652</v>
      </c>
      <c r="X24" s="165">
        <f t="shared" si="0"/>
        <v>0</v>
      </c>
      <c r="Y24" s="165">
        <f t="shared" si="1"/>
        <v>0</v>
      </c>
      <c r="Z24" s="165">
        <f t="shared" si="1"/>
        <v>0</v>
      </c>
    </row>
    <row r="25" spans="2:26" x14ac:dyDescent="0.25">
      <c r="B25" s="162">
        <v>20</v>
      </c>
      <c r="C25" s="162" t="s">
        <v>169</v>
      </c>
      <c r="D25" s="168">
        <v>1.1806399925262699E-5</v>
      </c>
      <c r="E25" s="162"/>
      <c r="K25" s="162" t="s">
        <v>147</v>
      </c>
      <c r="L25" s="162">
        <v>20</v>
      </c>
      <c r="M25" s="162" t="s">
        <v>169</v>
      </c>
      <c r="N25" s="162">
        <v>0.89</v>
      </c>
      <c r="U25" s="162">
        <v>20</v>
      </c>
      <c r="V25" s="162" t="s">
        <v>169</v>
      </c>
      <c r="W25" s="165">
        <f t="shared" si="2"/>
        <v>6.5790746237894195</v>
      </c>
      <c r="X25" s="165">
        <f t="shared" si="0"/>
        <v>0</v>
      </c>
      <c r="Y25" s="165">
        <f t="shared" si="1"/>
        <v>0</v>
      </c>
      <c r="Z25" s="165">
        <f t="shared" si="1"/>
        <v>0</v>
      </c>
    </row>
    <row r="26" spans="2:26" x14ac:dyDescent="0.25">
      <c r="B26" s="162">
        <v>21</v>
      </c>
      <c r="C26" s="162" t="s">
        <v>170</v>
      </c>
      <c r="D26" s="168">
        <v>3.3234799047932002E-4</v>
      </c>
      <c r="E26" s="162"/>
      <c r="K26" s="162" t="s">
        <v>147</v>
      </c>
      <c r="L26" s="162">
        <v>21</v>
      </c>
      <c r="M26" s="162" t="s">
        <v>170</v>
      </c>
      <c r="N26" s="162">
        <v>5</v>
      </c>
      <c r="U26" s="162">
        <v>21</v>
      </c>
      <c r="V26" s="162" t="s">
        <v>170</v>
      </c>
      <c r="W26" s="165">
        <f t="shared" si="2"/>
        <v>1040.447993675888</v>
      </c>
      <c r="X26" s="165">
        <f t="shared" si="0"/>
        <v>0</v>
      </c>
      <c r="Y26" s="165">
        <f t="shared" si="1"/>
        <v>0</v>
      </c>
      <c r="Z26" s="165">
        <f t="shared" si="1"/>
        <v>0</v>
      </c>
    </row>
    <row r="27" spans="2:26" x14ac:dyDescent="0.25">
      <c r="B27" s="162">
        <v>22</v>
      </c>
      <c r="C27" s="162" t="s">
        <v>171</v>
      </c>
      <c r="D27" s="168">
        <v>2.1763199474662499E-3</v>
      </c>
      <c r="E27" s="162"/>
      <c r="K27" s="162" t="s">
        <v>147</v>
      </c>
      <c r="L27" s="162">
        <v>22</v>
      </c>
      <c r="M27" s="162" t="s">
        <v>171</v>
      </c>
      <c r="N27" s="162">
        <v>0.48</v>
      </c>
      <c r="U27" s="162">
        <v>22</v>
      </c>
      <c r="V27" s="162" t="s">
        <v>171</v>
      </c>
      <c r="W27" s="165">
        <f t="shared" si="2"/>
        <v>654.06558074429256</v>
      </c>
      <c r="X27" s="165">
        <f t="shared" si="0"/>
        <v>0</v>
      </c>
      <c r="Y27" s="165">
        <f t="shared" si="1"/>
        <v>0</v>
      </c>
      <c r="Z27" s="165">
        <f t="shared" si="1"/>
        <v>0</v>
      </c>
    </row>
    <row r="28" spans="2:26" x14ac:dyDescent="0.25">
      <c r="B28" s="162">
        <v>23</v>
      </c>
      <c r="C28" s="162" t="s">
        <v>172</v>
      </c>
      <c r="D28" s="168">
        <v>3.9936099201440802E-3</v>
      </c>
      <c r="E28" s="162"/>
      <c r="K28" s="162" t="s">
        <v>147</v>
      </c>
      <c r="L28" s="162">
        <v>23</v>
      </c>
      <c r="M28" s="162" t="s">
        <v>172</v>
      </c>
      <c r="N28" s="162">
        <v>1.78</v>
      </c>
      <c r="U28" s="162">
        <v>23</v>
      </c>
      <c r="V28" s="162" t="s">
        <v>172</v>
      </c>
      <c r="W28" s="165">
        <f t="shared" si="2"/>
        <v>4450.850021895898</v>
      </c>
      <c r="X28" s="165">
        <f t="shared" si="0"/>
        <v>0</v>
      </c>
      <c r="Y28" s="165">
        <f t="shared" si="1"/>
        <v>0</v>
      </c>
      <c r="Z28" s="165">
        <f t="shared" si="1"/>
        <v>0</v>
      </c>
    </row>
    <row r="29" spans="2:26" x14ac:dyDescent="0.25">
      <c r="B29" s="162">
        <v>24</v>
      </c>
      <c r="C29" s="162" t="s">
        <v>173</v>
      </c>
      <c r="D29" s="168">
        <v>2.2079199552536002E-3</v>
      </c>
      <c r="E29" s="162"/>
      <c r="K29" s="162" t="s">
        <v>147</v>
      </c>
      <c r="L29" s="162">
        <v>24</v>
      </c>
      <c r="M29" s="162" t="s">
        <v>173</v>
      </c>
      <c r="N29" s="162">
        <v>1.59</v>
      </c>
      <c r="U29" s="162">
        <v>24</v>
      </c>
      <c r="V29" s="162" t="s">
        <v>173</v>
      </c>
      <c r="W29" s="165">
        <f t="shared" si="2"/>
        <v>2198.0509983410157</v>
      </c>
      <c r="X29" s="165">
        <f t="shared" si="0"/>
        <v>0</v>
      </c>
      <c r="Y29" s="165">
        <f t="shared" si="1"/>
        <v>0</v>
      </c>
      <c r="Z29" s="165">
        <f t="shared" si="1"/>
        <v>0</v>
      </c>
    </row>
    <row r="30" spans="2:26" x14ac:dyDescent="0.25">
      <c r="B30" s="162">
        <v>25</v>
      </c>
      <c r="C30" s="162" t="s">
        <v>174</v>
      </c>
      <c r="D30" s="168">
        <v>1.09529000837938E-5</v>
      </c>
      <c r="E30" s="162"/>
      <c r="K30" s="162" t="s">
        <v>147</v>
      </c>
      <c r="L30" s="162">
        <v>25</v>
      </c>
      <c r="M30" s="162" t="s">
        <v>174</v>
      </c>
      <c r="N30" s="162">
        <v>0.89</v>
      </c>
      <c r="U30" s="162">
        <v>25</v>
      </c>
      <c r="V30" s="162" t="s">
        <v>174</v>
      </c>
      <c r="W30" s="165">
        <f t="shared" si="2"/>
        <v>6.1034648541761483</v>
      </c>
      <c r="X30" s="165">
        <f t="shared" si="0"/>
        <v>0</v>
      </c>
      <c r="Y30" s="165">
        <f t="shared" si="1"/>
        <v>0</v>
      </c>
      <c r="Z30" s="165">
        <f t="shared" si="1"/>
        <v>0</v>
      </c>
    </row>
    <row r="31" spans="2:26" x14ac:dyDescent="0.25">
      <c r="B31" s="162">
        <v>26</v>
      </c>
      <c r="C31" s="162" t="s">
        <v>175</v>
      </c>
      <c r="D31" s="168">
        <v>2.1971600654069299E-4</v>
      </c>
      <c r="E31" s="162"/>
      <c r="K31" s="162" t="s">
        <v>147</v>
      </c>
      <c r="L31" s="162">
        <v>26</v>
      </c>
      <c r="M31" s="162" t="s">
        <v>175</v>
      </c>
      <c r="N31" s="162">
        <v>0.99</v>
      </c>
      <c r="U31" s="162">
        <v>26</v>
      </c>
      <c r="V31" s="162" t="s">
        <v>175</v>
      </c>
      <c r="W31" s="165">
        <f t="shared" si="2"/>
        <v>136.19281830198832</v>
      </c>
      <c r="X31" s="165">
        <f t="shared" si="0"/>
        <v>0</v>
      </c>
      <c r="Y31" s="165">
        <f t="shared" si="1"/>
        <v>0</v>
      </c>
      <c r="Z31" s="165">
        <f t="shared" si="1"/>
        <v>0</v>
      </c>
    </row>
    <row r="32" spans="2:26" x14ac:dyDescent="0.25">
      <c r="B32" s="162">
        <v>27</v>
      </c>
      <c r="C32" s="162" t="s">
        <v>176</v>
      </c>
      <c r="D32" s="168">
        <v>0</v>
      </c>
      <c r="E32" s="162"/>
      <c r="K32" s="162" t="s">
        <v>147</v>
      </c>
      <c r="L32" s="162">
        <v>27</v>
      </c>
      <c r="M32" s="162" t="s">
        <v>176</v>
      </c>
      <c r="N32" s="162">
        <v>1.24</v>
      </c>
      <c r="U32" s="162">
        <v>27</v>
      </c>
      <c r="V32" s="162" t="s">
        <v>176</v>
      </c>
      <c r="W32" s="165">
        <f t="shared" si="2"/>
        <v>0</v>
      </c>
      <c r="X32" s="165">
        <f t="shared" si="0"/>
        <v>0</v>
      </c>
      <c r="Y32" s="165">
        <f t="shared" si="1"/>
        <v>0</v>
      </c>
      <c r="Z32" s="165">
        <f t="shared" si="1"/>
        <v>0</v>
      </c>
    </row>
    <row r="33" spans="2:26" x14ac:dyDescent="0.25">
      <c r="B33" s="162">
        <v>28</v>
      </c>
      <c r="C33" s="162" t="s">
        <v>177</v>
      </c>
      <c r="D33" s="168">
        <v>5.0225801533088099E-4</v>
      </c>
      <c r="E33" s="162"/>
      <c r="K33" s="162" t="s">
        <v>147</v>
      </c>
      <c r="L33" s="162">
        <v>28</v>
      </c>
      <c r="M33" s="162" t="s">
        <v>177</v>
      </c>
      <c r="N33" s="162">
        <v>1.28</v>
      </c>
      <c r="U33" s="162">
        <v>28</v>
      </c>
      <c r="V33" s="162" t="s">
        <v>177</v>
      </c>
      <c r="W33" s="165">
        <f t="shared" si="2"/>
        <v>402.5262074335854</v>
      </c>
      <c r="X33" s="165">
        <f t="shared" si="0"/>
        <v>0</v>
      </c>
      <c r="Y33" s="165">
        <f t="shared" si="1"/>
        <v>0</v>
      </c>
      <c r="Z33" s="165">
        <f t="shared" si="1"/>
        <v>0</v>
      </c>
    </row>
    <row r="34" spans="2:26" x14ac:dyDescent="0.25">
      <c r="B34" s="162">
        <v>29</v>
      </c>
      <c r="C34" s="162" t="s">
        <v>178</v>
      </c>
      <c r="D34" s="168">
        <v>8.3325299783609794E-5</v>
      </c>
      <c r="E34" s="162"/>
      <c r="K34" s="162" t="s">
        <v>147</v>
      </c>
      <c r="L34" s="162">
        <v>29</v>
      </c>
      <c r="M34" s="162" t="s">
        <v>178</v>
      </c>
      <c r="N34" s="162">
        <v>1.03</v>
      </c>
      <c r="U34" s="162">
        <v>29</v>
      </c>
      <c r="V34" s="162" t="s">
        <v>178</v>
      </c>
      <c r="W34" s="165">
        <f t="shared" si="2"/>
        <v>53.736753505253439</v>
      </c>
      <c r="X34" s="165">
        <f t="shared" si="0"/>
        <v>0</v>
      </c>
      <c r="Y34" s="165">
        <f t="shared" si="1"/>
        <v>0</v>
      </c>
      <c r="Z34" s="165">
        <f t="shared" si="1"/>
        <v>0</v>
      </c>
    </row>
    <row r="35" spans="2:26" x14ac:dyDescent="0.25">
      <c r="B35" s="162">
        <v>30</v>
      </c>
      <c r="C35" s="162" t="s">
        <v>179</v>
      </c>
      <c r="D35" s="168">
        <v>1.8146600632462599E-4</v>
      </c>
      <c r="E35" s="162"/>
      <c r="K35" s="162" t="s">
        <v>147</v>
      </c>
      <c r="L35" s="162">
        <v>30</v>
      </c>
      <c r="M35" s="162" t="s">
        <v>179</v>
      </c>
      <c r="N35" s="162">
        <v>1.98</v>
      </c>
      <c r="U35" s="162">
        <v>30</v>
      </c>
      <c r="V35" s="162" t="s">
        <v>179</v>
      </c>
      <c r="W35" s="165">
        <f t="shared" si="2"/>
        <v>224.96646663546539</v>
      </c>
      <c r="X35" s="165">
        <f t="shared" si="0"/>
        <v>0</v>
      </c>
      <c r="Y35" s="165">
        <f t="shared" si="1"/>
        <v>0</v>
      </c>
      <c r="Z35" s="165">
        <f t="shared" si="1"/>
        <v>0</v>
      </c>
    </row>
    <row r="36" spans="2:26" x14ac:dyDescent="0.25">
      <c r="B36" s="162">
        <v>31</v>
      </c>
      <c r="C36" s="162" t="s">
        <v>180</v>
      </c>
      <c r="D36" s="168">
        <v>5.0603697309270501E-4</v>
      </c>
      <c r="E36" s="162"/>
      <c r="K36" s="162" t="s">
        <v>147</v>
      </c>
      <c r="L36" s="162">
        <v>31</v>
      </c>
      <c r="M36" s="162" t="s">
        <v>180</v>
      </c>
      <c r="N36" s="162">
        <v>0.65</v>
      </c>
      <c r="U36" s="162">
        <v>31</v>
      </c>
      <c r="V36" s="162" t="s">
        <v>180</v>
      </c>
      <c r="W36" s="165">
        <f t="shared" si="2"/>
        <v>205.94579146003625</v>
      </c>
      <c r="X36" s="165">
        <f t="shared" si="0"/>
        <v>0</v>
      </c>
      <c r="Y36" s="165">
        <f t="shared" si="1"/>
        <v>0</v>
      </c>
      <c r="Z36" s="165">
        <f t="shared" si="1"/>
        <v>0</v>
      </c>
    </row>
    <row r="37" spans="2:26" x14ac:dyDescent="0.25">
      <c r="B37" s="162">
        <v>32</v>
      </c>
      <c r="C37" s="162" t="s">
        <v>181</v>
      </c>
      <c r="D37" s="168">
        <v>9.3596503138542193E-3</v>
      </c>
      <c r="E37" s="162"/>
      <c r="K37" s="162" t="s">
        <v>147</v>
      </c>
      <c r="L37" s="162">
        <v>32</v>
      </c>
      <c r="M37" s="162" t="s">
        <v>181</v>
      </c>
      <c r="N37" s="162">
        <v>1.05</v>
      </c>
      <c r="U37" s="162">
        <v>32</v>
      </c>
      <c r="V37" s="162" t="s">
        <v>181</v>
      </c>
      <c r="W37" s="165">
        <f t="shared" si="2"/>
        <v>6153.2737690626373</v>
      </c>
      <c r="X37" s="165">
        <f t="shared" si="0"/>
        <v>0</v>
      </c>
      <c r="Y37" s="165">
        <f t="shared" si="1"/>
        <v>0</v>
      </c>
      <c r="Z37" s="165">
        <f t="shared" si="1"/>
        <v>0</v>
      </c>
    </row>
    <row r="38" spans="2:26" x14ac:dyDescent="0.25">
      <c r="B38" s="162">
        <v>33</v>
      </c>
      <c r="C38" s="162" t="s">
        <v>182</v>
      </c>
      <c r="D38" s="168">
        <v>1.53308000881225E-3</v>
      </c>
      <c r="E38" s="162"/>
      <c r="K38" s="162" t="s">
        <v>147</v>
      </c>
      <c r="L38" s="162">
        <v>33</v>
      </c>
      <c r="M38" s="162" t="s">
        <v>182</v>
      </c>
      <c r="N38" s="162">
        <v>1.35</v>
      </c>
      <c r="U38" s="162">
        <v>33</v>
      </c>
      <c r="V38" s="162" t="s">
        <v>182</v>
      </c>
      <c r="W38" s="165">
        <f t="shared" si="2"/>
        <v>1295.8534955889681</v>
      </c>
      <c r="X38" s="165">
        <f t="shared" si="0"/>
        <v>0</v>
      </c>
      <c r="Y38" s="165">
        <f t="shared" si="1"/>
        <v>0</v>
      </c>
      <c r="Z38" s="165">
        <f t="shared" si="1"/>
        <v>0</v>
      </c>
    </row>
    <row r="39" spans="2:26" x14ac:dyDescent="0.25">
      <c r="B39" s="162">
        <v>34</v>
      </c>
      <c r="C39" s="162" t="s">
        <v>183</v>
      </c>
      <c r="D39" s="168">
        <v>2.59247003123164E-3</v>
      </c>
      <c r="E39" s="162"/>
      <c r="K39" s="162" t="s">
        <v>147</v>
      </c>
      <c r="L39" s="162">
        <v>34</v>
      </c>
      <c r="M39" s="162" t="s">
        <v>183</v>
      </c>
      <c r="N39" s="162">
        <v>3.93</v>
      </c>
      <c r="U39" s="162">
        <v>34</v>
      </c>
      <c r="V39" s="162" t="s">
        <v>183</v>
      </c>
      <c r="W39" s="165">
        <f t="shared" si="2"/>
        <v>6379.1616963682072</v>
      </c>
      <c r="X39" s="165">
        <f t="shared" si="0"/>
        <v>0</v>
      </c>
      <c r="Y39" s="165">
        <f t="shared" si="1"/>
        <v>0</v>
      </c>
      <c r="Z39" s="165">
        <f t="shared" si="1"/>
        <v>0</v>
      </c>
    </row>
    <row r="40" spans="2:26" x14ac:dyDescent="0.25">
      <c r="B40" s="162">
        <v>35</v>
      </c>
      <c r="C40" s="162" t="s">
        <v>184</v>
      </c>
      <c r="D40" s="168">
        <v>6.6801700741052602E-3</v>
      </c>
      <c r="E40" s="162"/>
      <c r="K40" s="162" t="s">
        <v>147</v>
      </c>
      <c r="L40" s="162">
        <v>35</v>
      </c>
      <c r="M40" s="162" t="s">
        <v>184</v>
      </c>
      <c r="N40" s="162">
        <v>3.93</v>
      </c>
      <c r="U40" s="162">
        <v>35</v>
      </c>
      <c r="V40" s="162" t="s">
        <v>184</v>
      </c>
      <c r="W40" s="165">
        <f t="shared" si="2"/>
        <v>16437.561301995953</v>
      </c>
      <c r="X40" s="165">
        <f t="shared" si="0"/>
        <v>0</v>
      </c>
      <c r="Y40" s="165">
        <f t="shared" si="1"/>
        <v>0</v>
      </c>
      <c r="Z40" s="165">
        <f t="shared" si="1"/>
        <v>0</v>
      </c>
    </row>
    <row r="41" spans="2:26" x14ac:dyDescent="0.25">
      <c r="B41" s="218">
        <v>36</v>
      </c>
      <c r="C41" s="218" t="s">
        <v>185</v>
      </c>
      <c r="D41" s="226">
        <v>0.941039979457855</v>
      </c>
      <c r="E41" s="218"/>
      <c r="K41" s="162" t="s">
        <v>147</v>
      </c>
      <c r="L41" s="162">
        <v>36</v>
      </c>
      <c r="M41" s="162" t="s">
        <v>185</v>
      </c>
      <c r="N41" s="162">
        <v>4.28</v>
      </c>
      <c r="U41" s="162">
        <v>36</v>
      </c>
      <c r="V41" s="162" t="s">
        <v>185</v>
      </c>
      <c r="W41" s="165">
        <f t="shared" si="2"/>
        <v>2521791.3986758119</v>
      </c>
      <c r="X41" s="165">
        <f t="shared" si="0"/>
        <v>0</v>
      </c>
      <c r="Y41" s="165">
        <f t="shared" si="1"/>
        <v>0</v>
      </c>
      <c r="Z41" s="165">
        <f t="shared" si="1"/>
        <v>0</v>
      </c>
    </row>
    <row r="42" spans="2:26" x14ac:dyDescent="0.25">
      <c r="B42" s="162">
        <v>37</v>
      </c>
      <c r="C42" s="162" t="s">
        <v>186</v>
      </c>
      <c r="D42" s="168">
        <v>9.4412298494717106E-6</v>
      </c>
      <c r="E42" s="162"/>
      <c r="K42" s="162" t="s">
        <v>147</v>
      </c>
      <c r="L42" s="162">
        <v>37</v>
      </c>
      <c r="M42" s="162" t="s">
        <v>186</v>
      </c>
      <c r="N42" s="162">
        <v>1.69</v>
      </c>
      <c r="U42" s="162">
        <v>37</v>
      </c>
      <c r="V42" s="162" t="s">
        <v>186</v>
      </c>
      <c r="W42" s="165">
        <f t="shared" si="2"/>
        <v>9.9901633841848643</v>
      </c>
      <c r="X42" s="165">
        <f t="shared" si="0"/>
        <v>0</v>
      </c>
      <c r="Y42" s="165">
        <f t="shared" si="1"/>
        <v>0</v>
      </c>
      <c r="Z42" s="165">
        <f t="shared" si="1"/>
        <v>0</v>
      </c>
    </row>
    <row r="43" spans="2:26" x14ac:dyDescent="0.25">
      <c r="B43" s="162">
        <v>38</v>
      </c>
      <c r="C43" s="162" t="s">
        <v>187</v>
      </c>
      <c r="D43" s="168">
        <v>5.5854401580290903E-5</v>
      </c>
      <c r="E43" s="162"/>
      <c r="K43" s="162" t="s">
        <v>147</v>
      </c>
      <c r="L43" s="162">
        <v>38</v>
      </c>
      <c r="M43" s="162" t="s">
        <v>187</v>
      </c>
      <c r="N43" s="162">
        <v>5</v>
      </c>
      <c r="U43" s="162">
        <v>38</v>
      </c>
      <c r="V43" s="162" t="s">
        <v>187</v>
      </c>
      <c r="W43" s="165">
        <f t="shared" si="2"/>
        <v>174.85768449620599</v>
      </c>
      <c r="X43" s="165">
        <f t="shared" si="0"/>
        <v>0</v>
      </c>
      <c r="Y43" s="165">
        <f t="shared" si="1"/>
        <v>0</v>
      </c>
      <c r="Z43" s="165">
        <f t="shared" si="1"/>
        <v>0</v>
      </c>
    </row>
    <row r="44" spans="2:26" x14ac:dyDescent="0.25">
      <c r="B44" s="162">
        <v>39</v>
      </c>
      <c r="C44" s="162" t="s">
        <v>188</v>
      </c>
      <c r="D44" s="168">
        <v>4.0128501132130597E-3</v>
      </c>
      <c r="E44" s="162"/>
      <c r="K44" s="162" t="s">
        <v>147</v>
      </c>
      <c r="L44" s="162">
        <v>39</v>
      </c>
      <c r="M44" s="162" t="s">
        <v>188</v>
      </c>
      <c r="N44" s="162">
        <v>1.76</v>
      </c>
      <c r="U44" s="162">
        <v>39</v>
      </c>
      <c r="V44" s="162" t="s">
        <v>188</v>
      </c>
      <c r="W44" s="165">
        <f t="shared" si="2"/>
        <v>4422.0425969898643</v>
      </c>
      <c r="X44" s="165">
        <f t="shared" si="0"/>
        <v>0</v>
      </c>
      <c r="Y44" s="165">
        <f t="shared" si="1"/>
        <v>0</v>
      </c>
      <c r="Z44" s="165">
        <f t="shared" si="1"/>
        <v>0</v>
      </c>
    </row>
    <row r="45" spans="2:26" x14ac:dyDescent="0.25">
      <c r="B45" s="162">
        <v>40</v>
      </c>
      <c r="C45" s="162" t="s">
        <v>189</v>
      </c>
      <c r="D45" s="168">
        <v>4.7957899369066601E-5</v>
      </c>
      <c r="E45" s="162"/>
      <c r="K45" s="162" t="s">
        <v>147</v>
      </c>
      <c r="L45" s="162">
        <v>40</v>
      </c>
      <c r="M45" s="162" t="s">
        <v>189</v>
      </c>
      <c r="N45" s="162">
        <v>2.71</v>
      </c>
      <c r="U45" s="162">
        <v>40</v>
      </c>
      <c r="V45" s="162" t="s">
        <v>189</v>
      </c>
      <c r="W45" s="165">
        <f t="shared" si="2"/>
        <v>81.374204965887074</v>
      </c>
      <c r="X45" s="165">
        <f t="shared" si="0"/>
        <v>0</v>
      </c>
      <c r="Y45" s="165">
        <f t="shared" si="1"/>
        <v>0</v>
      </c>
      <c r="Z45" s="165">
        <f t="shared" si="1"/>
        <v>0</v>
      </c>
    </row>
    <row r="46" spans="2:26" x14ac:dyDescent="0.25">
      <c r="B46" s="162">
        <v>41</v>
      </c>
      <c r="C46" s="162" t="s">
        <v>190</v>
      </c>
      <c r="D46" s="168">
        <v>8.1505299021955607E-5</v>
      </c>
      <c r="E46" s="162"/>
      <c r="K46" s="162" t="s">
        <v>147</v>
      </c>
      <c r="L46" s="162">
        <v>41</v>
      </c>
      <c r="M46" s="162" t="s">
        <v>190</v>
      </c>
      <c r="N46" s="162">
        <v>1</v>
      </c>
      <c r="U46" s="162">
        <v>41</v>
      </c>
      <c r="V46" s="162" t="s">
        <v>190</v>
      </c>
      <c r="W46" s="165">
        <f t="shared" si="2"/>
        <v>51.032067152892104</v>
      </c>
      <c r="X46" s="165">
        <f t="shared" si="0"/>
        <v>0</v>
      </c>
      <c r="Y46" s="165">
        <f t="shared" si="1"/>
        <v>0</v>
      </c>
      <c r="Z46" s="165">
        <f t="shared" si="1"/>
        <v>0</v>
      </c>
    </row>
    <row r="47" spans="2:26" x14ac:dyDescent="0.25">
      <c r="B47" s="162">
        <v>43</v>
      </c>
      <c r="C47" s="162" t="s">
        <v>191</v>
      </c>
      <c r="D47" s="168">
        <v>1.8424900248646701E-2</v>
      </c>
      <c r="E47" s="162"/>
      <c r="K47" s="162" t="s">
        <v>147</v>
      </c>
      <c r="L47" s="162">
        <v>43</v>
      </c>
      <c r="M47" s="162" t="s">
        <v>191</v>
      </c>
      <c r="N47" s="162">
        <v>1</v>
      </c>
      <c r="U47" s="162">
        <v>43</v>
      </c>
      <c r="V47" s="162" t="s">
        <v>191</v>
      </c>
      <c r="W47" s="165">
        <f t="shared" si="2"/>
        <v>11536.19161032699</v>
      </c>
      <c r="X47" s="165">
        <f t="shared" si="0"/>
        <v>0</v>
      </c>
      <c r="Y47" s="165">
        <f t="shared" si="1"/>
        <v>0</v>
      </c>
      <c r="Z47" s="165">
        <f t="shared" si="1"/>
        <v>0</v>
      </c>
    </row>
    <row r="48" spans="2:26" x14ac:dyDescent="0.25">
      <c r="B48" s="162">
        <v>99</v>
      </c>
      <c r="C48" s="162" t="s">
        <v>192</v>
      </c>
      <c r="D48" s="168">
        <v>0</v>
      </c>
      <c r="E48" s="162"/>
      <c r="K48" s="162" t="s">
        <v>147</v>
      </c>
      <c r="L48" s="162">
        <v>99</v>
      </c>
      <c r="M48" s="162" t="s">
        <v>192</v>
      </c>
      <c r="N48" s="162">
        <v>1</v>
      </c>
      <c r="U48" s="162">
        <v>99</v>
      </c>
      <c r="V48" s="162" t="s">
        <v>192</v>
      </c>
      <c r="W48" s="165">
        <f t="shared" si="2"/>
        <v>0</v>
      </c>
      <c r="X48" s="165">
        <f t="shared" si="0"/>
        <v>0</v>
      </c>
      <c r="Y48" s="165">
        <f t="shared" si="1"/>
        <v>0</v>
      </c>
      <c r="Z48" s="165">
        <f t="shared" si="1"/>
        <v>0</v>
      </c>
    </row>
    <row r="49" spans="3:24" x14ac:dyDescent="0.25">
      <c r="W49" s="164">
        <f>SUM(W6:W48)</f>
        <v>2580410.2482153615</v>
      </c>
      <c r="X49" s="164">
        <f>SUM(X6:X48)</f>
        <v>0</v>
      </c>
    </row>
    <row r="50" spans="3:24" x14ac:dyDescent="0.25">
      <c r="C50" s="251" t="s">
        <v>235</v>
      </c>
      <c r="W50" s="166"/>
      <c r="X50" s="164">
        <f>W49-X49</f>
        <v>2580410.2482153615</v>
      </c>
    </row>
    <row r="51" spans="3:24" x14ac:dyDescent="0.25">
      <c r="C51" s="251" t="s">
        <v>236</v>
      </c>
    </row>
  </sheetData>
  <mergeCells count="11">
    <mergeCell ref="AB4:AC5"/>
    <mergeCell ref="G5:G6"/>
    <mergeCell ref="P6:P7"/>
    <mergeCell ref="G7:G8"/>
    <mergeCell ref="G12:I13"/>
    <mergeCell ref="Y4:Z4"/>
    <mergeCell ref="B4:E4"/>
    <mergeCell ref="G4:I4"/>
    <mergeCell ref="K4:N5"/>
    <mergeCell ref="P4:S4"/>
    <mergeCell ref="W4:X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61485-E5A9-4137-8A8A-D70310904FCF}">
  <sheetPr>
    <tabColor rgb="FF92D050"/>
    <pageSetUpPr fitToPage="1"/>
  </sheetPr>
  <dimension ref="A1:AJ140"/>
  <sheetViews>
    <sheetView zoomScale="85" zoomScaleNormal="85" workbookViewId="0">
      <pane xSplit="1" ySplit="4" topLeftCell="B5" activePane="bottomRight" state="frozen"/>
      <selection activeCell="G14" sqref="G14"/>
      <selection pane="topRight" activeCell="G14" sqref="G14"/>
      <selection pane="bottomLeft" activeCell="G14" sqref="G14"/>
      <selection pane="bottomRight" activeCell="D5" sqref="D5"/>
    </sheetView>
  </sheetViews>
  <sheetFormatPr defaultColWidth="15.28515625" defaultRowHeight="15" x14ac:dyDescent="0.25"/>
  <cols>
    <col min="1" max="1" width="12.42578125" style="54" customWidth="1"/>
    <col min="2" max="13" width="16.140625" style="54" customWidth="1"/>
    <col min="14" max="14" width="17.7109375" style="54" customWidth="1"/>
    <col min="15" max="15" width="19.28515625" style="54" customWidth="1"/>
    <col min="16" max="27" width="16.140625" style="54" customWidth="1"/>
    <col min="28" max="16384" width="15.28515625" style="54"/>
  </cols>
  <sheetData>
    <row r="1" spans="1:36" ht="15.75" customHeight="1" x14ac:dyDescent="0.25">
      <c r="A1" s="374" t="s">
        <v>78</v>
      </c>
      <c r="B1" s="113"/>
    </row>
    <row r="2" spans="1:36" x14ac:dyDescent="0.25">
      <c r="A2" s="374"/>
      <c r="B2" s="376" t="s">
        <v>3</v>
      </c>
      <c r="C2" s="376"/>
      <c r="D2" s="376"/>
      <c r="E2" s="372" t="s">
        <v>4</v>
      </c>
      <c r="F2" s="372"/>
      <c r="G2" s="372"/>
      <c r="H2" s="372" t="s">
        <v>3</v>
      </c>
      <c r="I2" s="372"/>
      <c r="J2" s="372"/>
      <c r="K2" s="372" t="s">
        <v>4</v>
      </c>
      <c r="L2" s="372"/>
      <c r="M2" s="372"/>
      <c r="N2" s="255" t="s">
        <v>3</v>
      </c>
      <c r="O2" s="255" t="s">
        <v>4</v>
      </c>
      <c r="P2" s="372" t="s">
        <v>3</v>
      </c>
      <c r="Q2" s="372"/>
      <c r="R2" s="372"/>
      <c r="S2" s="372" t="s">
        <v>4</v>
      </c>
      <c r="T2" s="372"/>
      <c r="U2" s="372"/>
      <c r="V2" s="372" t="s">
        <v>3</v>
      </c>
      <c r="W2" s="372"/>
      <c r="X2" s="372"/>
      <c r="Y2" s="372" t="s">
        <v>4</v>
      </c>
      <c r="Z2" s="372"/>
      <c r="AA2" s="372"/>
      <c r="AB2" s="372" t="s">
        <v>3</v>
      </c>
      <c r="AC2" s="372"/>
      <c r="AD2" s="372"/>
      <c r="AE2" s="372" t="s">
        <v>4</v>
      </c>
      <c r="AF2" s="372"/>
      <c r="AG2" s="372"/>
    </row>
    <row r="3" spans="1:36" ht="15" customHeight="1" x14ac:dyDescent="0.25">
      <c r="A3" s="375"/>
      <c r="B3" s="373" t="s">
        <v>93</v>
      </c>
      <c r="C3" s="373"/>
      <c r="D3" s="373"/>
      <c r="E3" s="373" t="s">
        <v>93</v>
      </c>
      <c r="F3" s="373"/>
      <c r="G3" s="373"/>
      <c r="H3" s="373" t="s">
        <v>94</v>
      </c>
      <c r="I3" s="373"/>
      <c r="J3" s="373"/>
      <c r="K3" s="373" t="s">
        <v>94</v>
      </c>
      <c r="L3" s="373"/>
      <c r="M3" s="373"/>
      <c r="N3" s="256" t="s">
        <v>193</v>
      </c>
      <c r="O3" s="256" t="s">
        <v>193</v>
      </c>
      <c r="P3" s="373" t="s">
        <v>40</v>
      </c>
      <c r="Q3" s="373"/>
      <c r="R3" s="373"/>
      <c r="S3" s="373" t="s">
        <v>40</v>
      </c>
      <c r="T3" s="373"/>
      <c r="U3" s="373"/>
      <c r="V3" s="373" t="s">
        <v>46</v>
      </c>
      <c r="W3" s="373"/>
      <c r="X3" s="373"/>
      <c r="Y3" s="373" t="s">
        <v>46</v>
      </c>
      <c r="Z3" s="373"/>
      <c r="AA3" s="373"/>
      <c r="AB3" s="373" t="s">
        <v>108</v>
      </c>
      <c r="AC3" s="373"/>
      <c r="AD3" s="373"/>
      <c r="AE3" s="373" t="s">
        <v>108</v>
      </c>
      <c r="AF3" s="373"/>
      <c r="AG3" s="373"/>
    </row>
    <row r="4" spans="1:36" s="253" customFormat="1" ht="30" x14ac:dyDescent="0.25">
      <c r="A4" s="114" t="s">
        <v>0</v>
      </c>
      <c r="B4" s="256" t="s">
        <v>20</v>
      </c>
      <c r="C4" s="256" t="s">
        <v>21</v>
      </c>
      <c r="D4" s="256" t="s">
        <v>1</v>
      </c>
      <c r="E4" s="101" t="s">
        <v>20</v>
      </c>
      <c r="F4" s="101" t="s">
        <v>21</v>
      </c>
      <c r="G4" s="101" t="s">
        <v>1</v>
      </c>
      <c r="H4" s="101" t="s">
        <v>20</v>
      </c>
      <c r="I4" s="101" t="s">
        <v>21</v>
      </c>
      <c r="J4" s="101" t="s">
        <v>1</v>
      </c>
      <c r="K4" s="101" t="s">
        <v>20</v>
      </c>
      <c r="L4" s="101" t="s">
        <v>21</v>
      </c>
      <c r="M4" s="101" t="s">
        <v>1</v>
      </c>
      <c r="N4" s="101" t="s">
        <v>1</v>
      </c>
      <c r="O4" s="101" t="s">
        <v>1</v>
      </c>
      <c r="P4" s="101" t="s">
        <v>20</v>
      </c>
      <c r="Q4" s="101" t="s">
        <v>21</v>
      </c>
      <c r="R4" s="101" t="s">
        <v>1</v>
      </c>
      <c r="S4" s="101" t="s">
        <v>20</v>
      </c>
      <c r="T4" s="101" t="s">
        <v>21</v>
      </c>
      <c r="U4" s="101" t="s">
        <v>1</v>
      </c>
      <c r="V4" s="101" t="s">
        <v>41</v>
      </c>
      <c r="W4" s="101" t="s">
        <v>42</v>
      </c>
      <c r="X4" s="101" t="s">
        <v>43</v>
      </c>
      <c r="Y4" s="101" t="s">
        <v>41</v>
      </c>
      <c r="Z4" s="101" t="s">
        <v>42</v>
      </c>
      <c r="AA4" s="101" t="s">
        <v>43</v>
      </c>
      <c r="AB4" s="101" t="s">
        <v>20</v>
      </c>
      <c r="AC4" s="101" t="s">
        <v>21</v>
      </c>
      <c r="AD4" s="101" t="s">
        <v>1</v>
      </c>
      <c r="AE4" s="101" t="s">
        <v>20</v>
      </c>
      <c r="AF4" s="101" t="s">
        <v>21</v>
      </c>
      <c r="AG4" s="101" t="s">
        <v>1</v>
      </c>
    </row>
    <row r="5" spans="1:36" x14ac:dyDescent="0.25">
      <c r="A5" s="70">
        <f>'Custom Truck TDC'!A5</f>
        <v>2018</v>
      </c>
      <c r="B5" s="298">
        <f>('Custom Truck TDC'!H5*(1-'Custom Truck TDC'!T5)*'Fixed Factors'!$D$3+'Custom Truck TDC'!H5*'Custom Truck TDC'!T5*'Fixed Factors'!$E$3)+(('Custom Truck TDC'!H5*(1-'Custom Truck TDC'!T5)*'Fixed Factors'!$D$8+'Custom Truck TDC'!H5*'Custom Truck TDC'!T5*'Fixed Factors'!$E$8)*'Fixed Factors'!$I$9)</f>
        <v>0</v>
      </c>
      <c r="C5" s="298">
        <f>('Custom Truck TDC'!I5*(1-'Custom Truck TDC'!U5)*'Fixed Factors'!$D$4+'Custom Truck TDC'!I5*'Custom Truck TDC'!U5*'Fixed Factors'!$E$4)+(('Custom Truck TDC'!I5*(1-'Custom Truck TDC'!U5)*'Fixed Factors'!$D$9+'Custom Truck TDC'!I5*'Custom Truck TDC'!U5*'Fixed Factors'!$E$9)*'Fixed Factors'!$I$9)</f>
        <v>0</v>
      </c>
      <c r="D5" s="298">
        <f>('Custom Truck TDC'!J5*(1-'Custom Truck TDC'!V5)*'Fixed Factors'!$D$5+'Custom Truck TDC'!J5*'Custom Truck TDC'!V5*'Fixed Factors'!$E$5)+(('Custom Truck TDC'!J5*(1-'Custom Truck TDC'!V5)*'Fixed Factors'!$D$10+'Custom Truck TDC'!J5*'Custom Truck TDC'!V5*'Fixed Factors'!$E$10)*'Fixed Factors'!$I$8)</f>
        <v>2374250.2875000006</v>
      </c>
      <c r="E5" s="298">
        <f>('Custom Truck TDC'!K5*(1-'Custom Truck TDC'!W5)*'Fixed Factors'!$D$3+'Custom Truck TDC'!K5*'Custom Truck TDC'!W5*'Fixed Factors'!$E$3)+(('Custom Truck TDC'!K5*(1-'Custom Truck TDC'!W5)*'Fixed Factors'!$D$8+'Custom Truck TDC'!K5*'Custom Truck TDC'!W5*'Fixed Factors'!$E$8)*'Fixed Factors'!$I$9)</f>
        <v>0</v>
      </c>
      <c r="F5" s="298">
        <f>('Custom Truck TDC'!L5*(1-'Custom Truck TDC'!X5)*'Fixed Factors'!$D$4+'Custom Truck TDC'!L5*'Custom Truck TDC'!X5*'Fixed Factors'!$E$4)+(('Custom Truck TDC'!L5*(1-'Custom Truck TDC'!X5)*'Fixed Factors'!$D$9+'Custom Truck TDC'!L5*'Custom Truck TDC'!X5*'Fixed Factors'!$E$9)*'Fixed Factors'!$I$9)</f>
        <v>0</v>
      </c>
      <c r="G5" s="298">
        <f>('Custom Truck TDC'!M5*(1-'Custom Truck TDC'!Y5)*'Fixed Factors'!$D$5+'Custom Truck TDC'!M5*'Custom Truck TDC'!Y5*'Fixed Factors'!$E$5)+(('Custom Truck TDC'!M5*(1-'Custom Truck TDC'!Y5)*'Fixed Factors'!$D$10+'Custom Truck TDC'!M5*'Custom Truck TDC'!Y5*'Fixed Factors'!$E$10)*'Fixed Factors'!$I$8)</f>
        <v>2374250.2875000006</v>
      </c>
      <c r="H5" s="299">
        <f>'Custom Truck TDC'!N5*'Fixed Factors'!$I$13*'Fixed Factors'!$C$13</f>
        <v>0</v>
      </c>
      <c r="I5" s="299">
        <f>'Custom Truck TDC'!O5*'Fixed Factors'!$I$14*'Fixed Factors'!$C$14</f>
        <v>0</v>
      </c>
      <c r="J5" s="299">
        <f>'Custom Truck TDC'!P5*'Fixed Factors'!$I$15*'Fixed Factors'!$C$15</f>
        <v>780780</v>
      </c>
      <c r="K5" s="300">
        <f>'Custom Truck TDC'!Q5*'Fixed Factors'!$I$13*'Fixed Factors'!$C$13</f>
        <v>0</v>
      </c>
      <c r="L5" s="300">
        <f>'Custom Truck TDC'!R5*'Fixed Factors'!$I$14*'Fixed Factors'!$C$14</f>
        <v>0</v>
      </c>
      <c r="M5" s="300">
        <f>'Custom Truck TDC'!S5*'Fixed Factors'!$I$15*'Fixed Factors'!$C$15</f>
        <v>780780</v>
      </c>
      <c r="N5" s="300">
        <f>'Custom Truck TDC'!P5*'Custom Truck Shipper-Logistics'!$I$5*'Custom Truck Shipper-Logistics'!$I$7*SUMPRODUCT('Custom Truck Shipper-Logistics'!$D$6:$D$48,'Custom Truck Shipper-Logistics'!$N$6:$N$48)</f>
        <v>2258736.6460331893</v>
      </c>
      <c r="O5" s="300">
        <f>'Custom Truck TDC'!S5*'Custom Truck Shipper-Logistics'!$I$5*'Custom Truck Shipper-Logistics'!$I$7*SUMPRODUCT('Custom Truck Shipper-Logistics'!$D$6:$D$48,'Custom Truck Shipper-Logistics'!$N$6:$N$48)</f>
        <v>2258736.6460331893</v>
      </c>
      <c r="P5" s="299">
        <f>'Custom Truck TDC'!Z5*'Fixed Factors'!$D$13</f>
        <v>0</v>
      </c>
      <c r="Q5" s="299">
        <f>'Custom Truck TDC'!AA5*'Fixed Factors'!$D$14</f>
        <v>0</v>
      </c>
      <c r="R5" s="299">
        <f>'Custom Truck TDC'!AB5*'Fixed Factors'!$D$15</f>
        <v>46931.088749999995</v>
      </c>
      <c r="S5" s="299">
        <f>'Custom Truck TDC'!AC5*'Fixed Factors'!$D$13</f>
        <v>0</v>
      </c>
      <c r="T5" s="299">
        <f>'Custom Truck TDC'!AD5*'Fixed Factors'!$D$14</f>
        <v>0</v>
      </c>
      <c r="U5" s="299">
        <f>'Custom Truck TDC'!AE5*'Fixed Factors'!$D$15</f>
        <v>46931.088749999995</v>
      </c>
      <c r="V5" s="300">
        <f>'Custom Truck TDC'!AF5*'Fixed Factors'!$G$3</f>
        <v>171186.46272000001</v>
      </c>
      <c r="W5" s="300">
        <f>'Custom Truck TDC'!AG5*'Fixed Factors'!$H$3</f>
        <v>139629.14587440001</v>
      </c>
      <c r="X5" s="300">
        <f>'Custom Truck TDC'!AH5*'Fixed Factors'!$I$3</f>
        <v>12577.339630674001</v>
      </c>
      <c r="Y5" s="300">
        <f>'Custom Truck TDC'!AI5*'Fixed Factors'!$G$3</f>
        <v>171186.46272000001</v>
      </c>
      <c r="Z5" s="300">
        <f>'Custom Truck TDC'!AJ5*'Fixed Factors'!$H$3</f>
        <v>139629.14587440001</v>
      </c>
      <c r="AA5" s="300">
        <f>'Custom Truck TDC'!AK5*'Fixed Factors'!$I$3</f>
        <v>12577.339630674001</v>
      </c>
      <c r="AB5" s="300">
        <f>'Custom Truck TDC'!H5*'Custom Truck TDC'!T5*'Fixed Factors'!$E$29+'Custom Truck TDC'!H5*(1-'Custom Truck TDC'!T5)*'Fixed Factors'!$D$29</f>
        <v>0</v>
      </c>
      <c r="AC5" s="300">
        <f>'Custom Truck TDC'!I5*'Custom Truck TDC'!U5*'Fixed Factors'!$E$30+'Custom Truck TDC'!I5*(1-'Custom Truck TDC'!U5)*'Fixed Factors'!$D$30</f>
        <v>0</v>
      </c>
      <c r="AD5" s="300">
        <f>'Custom Truck TDC'!J5*'Custom Truck TDC'!V5*'Fixed Factors'!$E$31+'Custom Truck TDC'!J5*(1-'Custom Truck TDC'!V5)*'Fixed Factors'!$D$31</f>
        <v>349004.53576617793</v>
      </c>
      <c r="AE5" s="300">
        <f>'Custom Truck TDC'!K5*'Custom Truck TDC'!W5*'Fixed Factors'!$E$29+'Custom Truck TDC'!K5*(1-'Custom Truck TDC'!W5)*'Fixed Factors'!$D$29</f>
        <v>0</v>
      </c>
      <c r="AF5" s="300">
        <f>'Custom Truck TDC'!L5*'Custom Truck TDC'!X5*'Fixed Factors'!$E$30+'Custom Truck TDC'!L5*(1-'Custom Truck TDC'!X5)*'Fixed Factors'!$D$30</f>
        <v>0</v>
      </c>
      <c r="AG5" s="300">
        <f>'Custom Truck TDC'!M5*'Custom Truck TDC'!Y5*'Fixed Factors'!$E$31+'Custom Truck TDC'!M5*(1-'Custom Truck TDC'!Y5)*'Fixed Factors'!$D$31</f>
        <v>349004.53576617793</v>
      </c>
      <c r="AH5" s="110"/>
      <c r="AI5" s="110"/>
      <c r="AJ5" s="110"/>
    </row>
    <row r="6" spans="1:36" x14ac:dyDescent="0.25">
      <c r="A6" s="70">
        <f>'Custom Truck TDC'!A6</f>
        <v>2019</v>
      </c>
      <c r="B6" s="298">
        <f>('Custom Truck TDC'!H6*(1-'Custom Truck TDC'!T6)*'Fixed Factors'!$D$3+'Custom Truck TDC'!H6*'Custom Truck TDC'!T6*'Fixed Factors'!$E$3)+(('Custom Truck TDC'!H6*(1-'Custom Truck TDC'!T6)*'Fixed Factors'!$D$8+'Custom Truck TDC'!H6*'Custom Truck TDC'!T6*'Fixed Factors'!$E$8)*'Fixed Factors'!$I$9)</f>
        <v>0</v>
      </c>
      <c r="C6" s="298">
        <f>('Custom Truck TDC'!I6*(1-'Custom Truck TDC'!U6)*'Fixed Factors'!$D$4+'Custom Truck TDC'!I6*'Custom Truck TDC'!U6*'Fixed Factors'!$E$4)+(('Custom Truck TDC'!I6*(1-'Custom Truck TDC'!U6)*'Fixed Factors'!$D$9+'Custom Truck TDC'!I6*'Custom Truck TDC'!U6*'Fixed Factors'!$E$9)*'Fixed Factors'!$I$9)</f>
        <v>0</v>
      </c>
      <c r="D6" s="298">
        <f>('Custom Truck TDC'!J6*(1-'Custom Truck TDC'!V6)*'Fixed Factors'!$D$5+'Custom Truck TDC'!J6*'Custom Truck TDC'!V6*'Fixed Factors'!$E$5)+(('Custom Truck TDC'!J6*(1-'Custom Truck TDC'!V6)*'Fixed Factors'!$D$10+'Custom Truck TDC'!J6*'Custom Truck TDC'!V6*'Fixed Factors'!$E$10)*'Fixed Factors'!$I$8)</f>
        <v>2419841.667991695</v>
      </c>
      <c r="E6" s="298">
        <f>('Custom Truck TDC'!K6*(1-'Custom Truck TDC'!W6)*'Fixed Factors'!$D$3+'Custom Truck TDC'!K6*'Custom Truck TDC'!W6*'Fixed Factors'!$E$3)+(('Custom Truck TDC'!K6*(1-'Custom Truck TDC'!W6)*'Fixed Factors'!$D$8+'Custom Truck TDC'!K6*'Custom Truck TDC'!W6*'Fixed Factors'!$E$8)*'Fixed Factors'!$I$9)</f>
        <v>0</v>
      </c>
      <c r="F6" s="298">
        <f>('Custom Truck TDC'!L6*(1-'Custom Truck TDC'!X6)*'Fixed Factors'!$D$4+'Custom Truck TDC'!L6*'Custom Truck TDC'!X6*'Fixed Factors'!$E$4)+(('Custom Truck TDC'!L6*(1-'Custom Truck TDC'!X6)*'Fixed Factors'!$D$9+'Custom Truck TDC'!L6*'Custom Truck TDC'!X6*'Fixed Factors'!$E$9)*'Fixed Factors'!$I$9)</f>
        <v>0</v>
      </c>
      <c r="G6" s="298">
        <f>('Custom Truck TDC'!M6*(1-'Custom Truck TDC'!Y6)*'Fixed Factors'!$D$5+'Custom Truck TDC'!M6*'Custom Truck TDC'!Y6*'Fixed Factors'!$E$5)+(('Custom Truck TDC'!M6*(1-'Custom Truck TDC'!Y6)*'Fixed Factors'!$D$10+'Custom Truck TDC'!M6*'Custom Truck TDC'!Y6*'Fixed Factors'!$E$10)*'Fixed Factors'!$I$8)</f>
        <v>2419841.667991695</v>
      </c>
      <c r="H6" s="299">
        <f>'Custom Truck TDC'!N6*'Fixed Factors'!$I$13*'Fixed Factors'!$C$13</f>
        <v>0</v>
      </c>
      <c r="I6" s="299">
        <f>'Custom Truck TDC'!O6*'Fixed Factors'!$I$14*'Fixed Factors'!$C$14</f>
        <v>0</v>
      </c>
      <c r="J6" s="299">
        <f>'Custom Truck TDC'!P6*'Fixed Factors'!$I$15*'Fixed Factors'!$C$15</f>
        <v>795772.87511839683</v>
      </c>
      <c r="K6" s="300">
        <f>'Custom Truck TDC'!Q6*'Fixed Factors'!$I$13*'Fixed Factors'!$C$13</f>
        <v>0</v>
      </c>
      <c r="L6" s="300">
        <f>'Custom Truck TDC'!R6*'Fixed Factors'!$I$14*'Fixed Factors'!$C$14</f>
        <v>0</v>
      </c>
      <c r="M6" s="300">
        <f>'Custom Truck TDC'!S6*'Fixed Factors'!$I$15*'Fixed Factors'!$C$15</f>
        <v>795772.87511839683</v>
      </c>
      <c r="N6" s="300">
        <f>'Custom Truck TDC'!P6*'Custom Truck Shipper-Logistics'!$I$5*'Custom Truck Shipper-Logistics'!$I$7*SUMPRODUCT('Custom Truck Shipper-Logistics'!$D$6:$D$48,'Custom Truck Shipper-Logistics'!$N$6:$N$48)</f>
        <v>2302109.8836408658</v>
      </c>
      <c r="O6" s="300">
        <f>'Custom Truck TDC'!S6*'Custom Truck Shipper-Logistics'!$I$5*'Custom Truck Shipper-Logistics'!$I$7*SUMPRODUCT('Custom Truck Shipper-Logistics'!$D$6:$D$48,'Custom Truck Shipper-Logistics'!$N$6:$N$48)</f>
        <v>2302109.8836408658</v>
      </c>
      <c r="P6" s="299">
        <f>'Custom Truck TDC'!Z6*'Fixed Factors'!$D$13</f>
        <v>0</v>
      </c>
      <c r="Q6" s="299">
        <f>'Custom Truck TDC'!AA6*'Fixed Factors'!$D$14</f>
        <v>0</v>
      </c>
      <c r="R6" s="299">
        <f>'Custom Truck TDC'!AB6*'Fixed Factors'!$D$15</f>
        <v>47832.279806122271</v>
      </c>
      <c r="S6" s="299">
        <f>'Custom Truck TDC'!AC6*'Fixed Factors'!$D$13</f>
        <v>0</v>
      </c>
      <c r="T6" s="299">
        <f>'Custom Truck TDC'!AD6*'Fixed Factors'!$D$14</f>
        <v>0</v>
      </c>
      <c r="U6" s="299">
        <f>'Custom Truck TDC'!AE6*'Fixed Factors'!$D$15</f>
        <v>47832.279806122271</v>
      </c>
      <c r="V6" s="300">
        <f>'Custom Truck TDC'!AF6*'Fixed Factors'!$G$3</f>
        <v>174473.65918702152</v>
      </c>
      <c r="W6" s="300">
        <f>'Custom Truck TDC'!AG6*'Fixed Factors'!$H$3</f>
        <v>142310.36510002476</v>
      </c>
      <c r="X6" s="300">
        <f>'Custom Truck TDC'!AH6*'Fixed Factors'!$I$3</f>
        <v>12818.855143884328</v>
      </c>
      <c r="Y6" s="300">
        <f>'Custom Truck TDC'!AI6*'Fixed Factors'!$G$3</f>
        <v>174473.65918702152</v>
      </c>
      <c r="Z6" s="300">
        <f>'Custom Truck TDC'!AJ6*'Fixed Factors'!$H$3</f>
        <v>142310.36510002476</v>
      </c>
      <c r="AA6" s="300">
        <f>'Custom Truck TDC'!AK6*'Fixed Factors'!$I$3</f>
        <v>12818.855143884328</v>
      </c>
      <c r="AB6" s="300">
        <f>'Custom Truck TDC'!H6*'Custom Truck TDC'!T6*'Fixed Factors'!$E$29+'Custom Truck TDC'!H6*(1-'Custom Truck TDC'!T6)*'Fixed Factors'!$D$29</f>
        <v>0</v>
      </c>
      <c r="AC6" s="300">
        <f>'Custom Truck TDC'!I6*'Custom Truck TDC'!U6*'Fixed Factors'!$E$30+'Custom Truck TDC'!I6*(1-'Custom Truck TDC'!U6)*'Fixed Factors'!$D$30</f>
        <v>0</v>
      </c>
      <c r="AD6" s="300">
        <f>'Custom Truck TDC'!J6*'Custom Truck TDC'!V6*'Fixed Factors'!$E$31+'Custom Truck TDC'!J6*(1-'Custom Truck TDC'!V6)*'Fixed Factors'!$D$31</f>
        <v>355706.27174878039</v>
      </c>
      <c r="AE6" s="300">
        <f>'Custom Truck TDC'!K6*'Custom Truck TDC'!W6*'Fixed Factors'!$E$29+'Custom Truck TDC'!K6*(1-'Custom Truck TDC'!W6)*'Fixed Factors'!$D$29</f>
        <v>0</v>
      </c>
      <c r="AF6" s="300">
        <f>'Custom Truck TDC'!L6*'Custom Truck TDC'!X6*'Fixed Factors'!$E$30+'Custom Truck TDC'!L6*(1-'Custom Truck TDC'!X6)*'Fixed Factors'!$D$30</f>
        <v>0</v>
      </c>
      <c r="AG6" s="300">
        <f>'Custom Truck TDC'!M6*'Custom Truck TDC'!Y6*'Fixed Factors'!$E$31+'Custom Truck TDC'!M6*(1-'Custom Truck TDC'!Y6)*'Fixed Factors'!$D$31</f>
        <v>355706.27174878039</v>
      </c>
    </row>
    <row r="7" spans="1:36" x14ac:dyDescent="0.25">
      <c r="A7" s="70">
        <f>'Custom Truck TDC'!A7</f>
        <v>2020</v>
      </c>
      <c r="B7" s="298">
        <f>('Custom Truck TDC'!H7*(1-'Custom Truck TDC'!T7)*'Fixed Factors'!$D$3+'Custom Truck TDC'!H7*'Custom Truck TDC'!T7*'Fixed Factors'!$E$3)+(('Custom Truck TDC'!H7*(1-'Custom Truck TDC'!T7)*'Fixed Factors'!$D$8+'Custom Truck TDC'!H7*'Custom Truck TDC'!T7*'Fixed Factors'!$E$8)*'Fixed Factors'!$I$9)</f>
        <v>0</v>
      </c>
      <c r="C7" s="298">
        <f>('Custom Truck TDC'!I7*(1-'Custom Truck TDC'!U7)*'Fixed Factors'!$D$4+'Custom Truck TDC'!I7*'Custom Truck TDC'!U7*'Fixed Factors'!$E$4)+(('Custom Truck TDC'!I7*(1-'Custom Truck TDC'!U7)*'Fixed Factors'!$D$9+'Custom Truck TDC'!I7*'Custom Truck TDC'!U7*'Fixed Factors'!$E$9)*'Fixed Factors'!$I$9)</f>
        <v>0</v>
      </c>
      <c r="D7" s="298">
        <f>('Custom Truck TDC'!J7*(1-'Custom Truck TDC'!V7)*'Fixed Factors'!$D$5+'Custom Truck TDC'!J7*'Custom Truck TDC'!V7*'Fixed Factors'!$E$5)+(('Custom Truck TDC'!J7*(1-'Custom Truck TDC'!V7)*'Fixed Factors'!$D$10+'Custom Truck TDC'!J7*'Custom Truck TDC'!V7*'Fixed Factors'!$E$10)*'Fixed Factors'!$I$8)</f>
        <v>2466308.5138823329</v>
      </c>
      <c r="E7" s="298">
        <f>('Custom Truck TDC'!K7*(1-'Custom Truck TDC'!W7)*'Fixed Factors'!$D$3+'Custom Truck TDC'!K7*'Custom Truck TDC'!W7*'Fixed Factors'!$E$3)+(('Custom Truck TDC'!K7*(1-'Custom Truck TDC'!W7)*'Fixed Factors'!$D$8+'Custom Truck TDC'!K7*'Custom Truck TDC'!W7*'Fixed Factors'!$E$8)*'Fixed Factors'!$I$9)</f>
        <v>0</v>
      </c>
      <c r="F7" s="298">
        <f>('Custom Truck TDC'!L7*(1-'Custom Truck TDC'!X7)*'Fixed Factors'!$D$4+'Custom Truck TDC'!L7*'Custom Truck TDC'!X7*'Fixed Factors'!$E$4)+(('Custom Truck TDC'!L7*(1-'Custom Truck TDC'!X7)*'Fixed Factors'!$D$9+'Custom Truck TDC'!L7*'Custom Truck TDC'!X7*'Fixed Factors'!$E$9)*'Fixed Factors'!$I$9)</f>
        <v>0</v>
      </c>
      <c r="G7" s="298">
        <f>('Custom Truck TDC'!M7*(1-'Custom Truck TDC'!Y7)*'Fixed Factors'!$D$5+'Custom Truck TDC'!M7*'Custom Truck TDC'!Y7*'Fixed Factors'!$E$5)+(('Custom Truck TDC'!M7*(1-'Custom Truck TDC'!Y7)*'Fixed Factors'!$D$10+'Custom Truck TDC'!M7*'Custom Truck TDC'!Y7*'Fixed Factors'!$E$10)*'Fixed Factors'!$I$8)</f>
        <v>2466308.5138823329</v>
      </c>
      <c r="H7" s="299">
        <f>'Custom Truck TDC'!N7*'Fixed Factors'!$I$13*'Fixed Factors'!$C$13</f>
        <v>0</v>
      </c>
      <c r="I7" s="299">
        <f>'Custom Truck TDC'!O7*'Fixed Factors'!$I$14*'Fixed Factors'!$C$14</f>
        <v>0</v>
      </c>
      <c r="J7" s="299">
        <f>'Custom Truck TDC'!P7*'Fixed Factors'!$I$15*'Fixed Factors'!$C$15</f>
        <v>811053.64990675938</v>
      </c>
      <c r="K7" s="300">
        <f>'Custom Truck TDC'!Q7*'Fixed Factors'!$I$13*'Fixed Factors'!$C$13</f>
        <v>0</v>
      </c>
      <c r="L7" s="300">
        <f>'Custom Truck TDC'!R7*'Fixed Factors'!$I$14*'Fixed Factors'!$C$14</f>
        <v>0</v>
      </c>
      <c r="M7" s="300">
        <f>'Custom Truck TDC'!S7*'Fixed Factors'!$I$15*'Fixed Factors'!$C$15</f>
        <v>811053.64990675938</v>
      </c>
      <c r="N7" s="300">
        <f>'Custom Truck TDC'!P7*'Custom Truck Shipper-Logistics'!$I$5*'Custom Truck Shipper-Logistics'!$I$7*SUMPRODUCT('Custom Truck Shipper-Logistics'!$D$6:$D$48,'Custom Truck Shipper-Logistics'!$N$6:$N$48)</f>
        <v>2346315.9929088471</v>
      </c>
      <c r="O7" s="300">
        <f>'Custom Truck TDC'!S7*'Custom Truck Shipper-Logistics'!$I$5*'Custom Truck Shipper-Logistics'!$I$7*SUMPRODUCT('Custom Truck Shipper-Logistics'!$D$6:$D$48,'Custom Truck Shipper-Logistics'!$N$6:$N$48)</f>
        <v>2346315.9929088471</v>
      </c>
      <c r="P7" s="299">
        <f>'Custom Truck TDC'!Z7*'Fixed Factors'!$D$13</f>
        <v>0</v>
      </c>
      <c r="Q7" s="299">
        <f>'Custom Truck TDC'!AA7*'Fixed Factors'!$D$14</f>
        <v>0</v>
      </c>
      <c r="R7" s="299">
        <f>'Custom Truck TDC'!AB7*'Fixed Factors'!$D$15</f>
        <v>48750.775922520494</v>
      </c>
      <c r="S7" s="299">
        <f>'Custom Truck TDC'!AC7*'Fixed Factors'!$D$13</f>
        <v>0</v>
      </c>
      <c r="T7" s="299">
        <f>'Custom Truck TDC'!AD7*'Fixed Factors'!$D$14</f>
        <v>0</v>
      </c>
      <c r="U7" s="299">
        <f>'Custom Truck TDC'!AE7*'Fixed Factors'!$D$15</f>
        <v>48750.775922520494</v>
      </c>
      <c r="V7" s="300">
        <f>'Custom Truck TDC'!AF7*'Fixed Factors'!$G$3</f>
        <v>177823.97782177234</v>
      </c>
      <c r="W7" s="300">
        <f>'Custom Truck TDC'!AG7*'Fixed Factors'!$H$3</f>
        <v>145043.07025640443</v>
      </c>
      <c r="X7" s="300">
        <f>'Custom Truck TDC'!AH7*'Fixed Factors'!$I$3</f>
        <v>13065.008342394889</v>
      </c>
      <c r="Y7" s="300">
        <f>'Custom Truck TDC'!AI7*'Fixed Factors'!$G$3</f>
        <v>177823.97782177234</v>
      </c>
      <c r="Z7" s="300">
        <f>'Custom Truck TDC'!AJ7*'Fixed Factors'!$H$3</f>
        <v>145043.07025640443</v>
      </c>
      <c r="AA7" s="300">
        <f>'Custom Truck TDC'!AK7*'Fixed Factors'!$I$3</f>
        <v>13065.008342394889</v>
      </c>
      <c r="AB7" s="300">
        <f>'Custom Truck TDC'!H7*'Custom Truck TDC'!T7*'Fixed Factors'!$E$29+'Custom Truck TDC'!H7*(1-'Custom Truck TDC'!T7)*'Fixed Factors'!$D$29</f>
        <v>0</v>
      </c>
      <c r="AC7" s="300">
        <f>'Custom Truck TDC'!I7*'Custom Truck TDC'!U7*'Fixed Factors'!$E$30+'Custom Truck TDC'!I7*(1-'Custom Truck TDC'!U7)*'Fixed Factors'!$D$30</f>
        <v>0</v>
      </c>
      <c r="AD7" s="300">
        <f>'Custom Truck TDC'!J7*'Custom Truck TDC'!V7*'Fixed Factors'!$E$31+'Custom Truck TDC'!J7*(1-'Custom Truck TDC'!V7)*'Fixed Factors'!$D$31</f>
        <v>362536.69736311474</v>
      </c>
      <c r="AE7" s="300">
        <f>'Custom Truck TDC'!K7*'Custom Truck TDC'!W7*'Fixed Factors'!$E$29+'Custom Truck TDC'!K7*(1-'Custom Truck TDC'!W7)*'Fixed Factors'!$D$29</f>
        <v>0</v>
      </c>
      <c r="AF7" s="300">
        <f>'Custom Truck TDC'!L7*'Custom Truck TDC'!X7*'Fixed Factors'!$E$30+'Custom Truck TDC'!L7*(1-'Custom Truck TDC'!X7)*'Fixed Factors'!$D$30</f>
        <v>0</v>
      </c>
      <c r="AG7" s="300">
        <f>'Custom Truck TDC'!M7*'Custom Truck TDC'!Y7*'Fixed Factors'!$E$31+'Custom Truck TDC'!M7*(1-'Custom Truck TDC'!Y7)*'Fixed Factors'!$D$31</f>
        <v>362536.69736311474</v>
      </c>
    </row>
    <row r="8" spans="1:36" x14ac:dyDescent="0.25">
      <c r="A8" s="70">
        <f>'Custom Truck TDC'!A8</f>
        <v>2021</v>
      </c>
      <c r="B8" s="298">
        <f>('Custom Truck TDC'!H8*(1-'Custom Truck TDC'!T8)*'Fixed Factors'!$D$3+'Custom Truck TDC'!H8*'Custom Truck TDC'!T8*'Fixed Factors'!$E$3)+(('Custom Truck TDC'!H8*(1-'Custom Truck TDC'!T8)*'Fixed Factors'!$D$8+'Custom Truck TDC'!H8*'Custom Truck TDC'!T8*'Fixed Factors'!$E$8)*'Fixed Factors'!$I$9)</f>
        <v>0</v>
      </c>
      <c r="C8" s="298">
        <f>('Custom Truck TDC'!I8*(1-'Custom Truck TDC'!U8)*'Fixed Factors'!$D$4+'Custom Truck TDC'!I8*'Custom Truck TDC'!U8*'Fixed Factors'!$E$4)+(('Custom Truck TDC'!I8*(1-'Custom Truck TDC'!U8)*'Fixed Factors'!$D$9+'Custom Truck TDC'!I8*'Custom Truck TDC'!U8*'Fixed Factors'!$E$9)*'Fixed Factors'!$I$9)</f>
        <v>0</v>
      </c>
      <c r="D8" s="298">
        <f>('Custom Truck TDC'!J8*(1-'Custom Truck TDC'!V8)*'Fixed Factors'!$D$5+'Custom Truck TDC'!J8*'Custom Truck TDC'!V8*'Fixed Factors'!$E$5)+(('Custom Truck TDC'!J8*(1-'Custom Truck TDC'!V8)*'Fixed Factors'!$D$10+'Custom Truck TDC'!J8*'Custom Truck TDC'!V8*'Fixed Factors'!$E$10)*'Fixed Factors'!$I$8)</f>
        <v>2513667.6362369996</v>
      </c>
      <c r="E8" s="298">
        <f>('Custom Truck TDC'!K8*(1-'Custom Truck TDC'!W8)*'Fixed Factors'!$D$3+'Custom Truck TDC'!K8*'Custom Truck TDC'!W8*'Fixed Factors'!$E$3)+(('Custom Truck TDC'!K8*(1-'Custom Truck TDC'!W8)*'Fixed Factors'!$D$8+'Custom Truck TDC'!K8*'Custom Truck TDC'!W8*'Fixed Factors'!$E$8)*'Fixed Factors'!$I$9)</f>
        <v>0</v>
      </c>
      <c r="F8" s="298">
        <f>('Custom Truck TDC'!L8*(1-'Custom Truck TDC'!X8)*'Fixed Factors'!$D$4+'Custom Truck TDC'!L8*'Custom Truck TDC'!X8*'Fixed Factors'!$E$4)+(('Custom Truck TDC'!L8*(1-'Custom Truck TDC'!X8)*'Fixed Factors'!$D$9+'Custom Truck TDC'!L8*'Custom Truck TDC'!X8*'Fixed Factors'!$E$9)*'Fixed Factors'!$I$9)</f>
        <v>0</v>
      </c>
      <c r="G8" s="298">
        <f>('Custom Truck TDC'!M8*(1-'Custom Truck TDC'!Y8)*'Fixed Factors'!$D$5+'Custom Truck TDC'!M8*'Custom Truck TDC'!Y8*'Fixed Factors'!$E$5)+(('Custom Truck TDC'!M8*(1-'Custom Truck TDC'!Y8)*'Fixed Factors'!$D$10+'Custom Truck TDC'!M8*'Custom Truck TDC'!Y8*'Fixed Factors'!$E$10)*'Fixed Factors'!$I$8)</f>
        <v>2513667.6362369996</v>
      </c>
      <c r="H8" s="299">
        <f>'Custom Truck TDC'!N8*'Fixed Factors'!$I$13*'Fixed Factors'!$C$13</f>
        <v>0</v>
      </c>
      <c r="I8" s="299">
        <f>'Custom Truck TDC'!O8*'Fixed Factors'!$I$14*'Fixed Factors'!$C$14</f>
        <v>0</v>
      </c>
      <c r="J8" s="299">
        <f>'Custom Truck TDC'!P8*'Fixed Factors'!$I$15*'Fixed Factors'!$C$15</f>
        <v>826627.85273901932</v>
      </c>
      <c r="K8" s="300">
        <f>'Custom Truck TDC'!Q8*'Fixed Factors'!$I$13*'Fixed Factors'!$C$13</f>
        <v>0</v>
      </c>
      <c r="L8" s="300">
        <f>'Custom Truck TDC'!R8*'Fixed Factors'!$I$14*'Fixed Factors'!$C$14</f>
        <v>0</v>
      </c>
      <c r="M8" s="300">
        <f>'Custom Truck TDC'!S8*'Fixed Factors'!$I$15*'Fixed Factors'!$C$15</f>
        <v>826627.85273901932</v>
      </c>
      <c r="N8" s="300">
        <f>'Custom Truck TDC'!P8*'Custom Truck Shipper-Logistics'!$I$5*'Custom Truck Shipper-Logistics'!$I$7*SUMPRODUCT('Custom Truck Shipper-Logistics'!$D$6:$D$48,'Custom Truck Shipper-Logistics'!$N$6:$N$48)</f>
        <v>2391370.9669988337</v>
      </c>
      <c r="O8" s="300">
        <f>'Custom Truck TDC'!S8*'Custom Truck Shipper-Logistics'!$I$5*'Custom Truck Shipper-Logistics'!$I$7*SUMPRODUCT('Custom Truck Shipper-Logistics'!$D$6:$D$48,'Custom Truck Shipper-Logistics'!$N$6:$N$48)</f>
        <v>2391370.9669988337</v>
      </c>
      <c r="P8" s="299">
        <f>'Custom Truck TDC'!Z8*'Fixed Factors'!$D$13</f>
        <v>0</v>
      </c>
      <c r="Q8" s="299">
        <f>'Custom Truck TDC'!AA8*'Fixed Factors'!$D$14</f>
        <v>0</v>
      </c>
      <c r="R8" s="299">
        <f>'Custom Truck TDC'!AB8*'Fixed Factors'!$D$15</f>
        <v>49686.909398443662</v>
      </c>
      <c r="S8" s="299">
        <f>'Custom Truck TDC'!AC8*'Fixed Factors'!$D$13</f>
        <v>0</v>
      </c>
      <c r="T8" s="299">
        <f>'Custom Truck TDC'!AD8*'Fixed Factors'!$D$14</f>
        <v>0</v>
      </c>
      <c r="U8" s="299">
        <f>'Custom Truck TDC'!AE8*'Fixed Factors'!$D$15</f>
        <v>49686.909398443662</v>
      </c>
      <c r="V8" s="300">
        <f>'Custom Truck TDC'!AF8*'Fixed Factors'!$G$3</f>
        <v>181238.63072340708</v>
      </c>
      <c r="W8" s="300">
        <f>'Custom Truck TDC'!AG8*'Fixed Factors'!$H$3</f>
        <v>147828.24999864056</v>
      </c>
      <c r="X8" s="300">
        <f>'Custom Truck TDC'!AH8*'Fixed Factors'!$I$3</f>
        <v>13315.888281043854</v>
      </c>
      <c r="Y8" s="300">
        <f>'Custom Truck TDC'!AI8*'Fixed Factors'!$G$3</f>
        <v>181238.63072340708</v>
      </c>
      <c r="Z8" s="300">
        <f>'Custom Truck TDC'!AJ8*'Fixed Factors'!$H$3</f>
        <v>147828.24999864056</v>
      </c>
      <c r="AA8" s="300">
        <f>'Custom Truck TDC'!AK8*'Fixed Factors'!$I$3</f>
        <v>13315.888281043854</v>
      </c>
      <c r="AB8" s="300">
        <f>'Custom Truck TDC'!H8*'Custom Truck TDC'!T8*'Fixed Factors'!$E$29+'Custom Truck TDC'!H8*(1-'Custom Truck TDC'!T8)*'Fixed Factors'!$D$29</f>
        <v>0</v>
      </c>
      <c r="AC8" s="300">
        <f>'Custom Truck TDC'!I8*'Custom Truck TDC'!U8*'Fixed Factors'!$E$30+'Custom Truck TDC'!I8*(1-'Custom Truck TDC'!U8)*'Fixed Factors'!$D$30</f>
        <v>0</v>
      </c>
      <c r="AD8" s="300">
        <f>'Custom Truck TDC'!J8*'Custom Truck TDC'!V8*'Fixed Factors'!$E$31+'Custom Truck TDC'!J8*(1-'Custom Truck TDC'!V8)*'Fixed Factors'!$D$31</f>
        <v>369498.28376312653</v>
      </c>
      <c r="AE8" s="300">
        <f>'Custom Truck TDC'!K8*'Custom Truck TDC'!W8*'Fixed Factors'!$E$29+'Custom Truck TDC'!K8*(1-'Custom Truck TDC'!W8)*'Fixed Factors'!$D$29</f>
        <v>0</v>
      </c>
      <c r="AF8" s="300">
        <f>'Custom Truck TDC'!L8*'Custom Truck TDC'!X8*'Fixed Factors'!$E$30+'Custom Truck TDC'!L8*(1-'Custom Truck TDC'!X8)*'Fixed Factors'!$D$30</f>
        <v>0</v>
      </c>
      <c r="AG8" s="300">
        <f>'Custom Truck TDC'!M8*'Custom Truck TDC'!Y8*'Fixed Factors'!$E$31+'Custom Truck TDC'!M8*(1-'Custom Truck TDC'!Y8)*'Fixed Factors'!$D$31</f>
        <v>369498.28376312653</v>
      </c>
    </row>
    <row r="9" spans="1:36" x14ac:dyDescent="0.25">
      <c r="A9" s="70">
        <f>'Custom Truck TDC'!A9</f>
        <v>2022</v>
      </c>
      <c r="B9" s="298">
        <f>('Custom Truck TDC'!H9*(1-'Custom Truck TDC'!T9)*'Fixed Factors'!$D$3+'Custom Truck TDC'!H9*'Custom Truck TDC'!T9*'Fixed Factors'!$E$3)+(('Custom Truck TDC'!H9*(1-'Custom Truck TDC'!T9)*'Fixed Factors'!$D$8+'Custom Truck TDC'!H9*'Custom Truck TDC'!T9*'Fixed Factors'!$E$8)*'Fixed Factors'!$I$9)</f>
        <v>0</v>
      </c>
      <c r="C9" s="298">
        <f>('Custom Truck TDC'!I9*(1-'Custom Truck TDC'!U9)*'Fixed Factors'!$D$4+'Custom Truck TDC'!I9*'Custom Truck TDC'!U9*'Fixed Factors'!$E$4)+(('Custom Truck TDC'!I9*(1-'Custom Truck TDC'!U9)*'Fixed Factors'!$D$9+'Custom Truck TDC'!I9*'Custom Truck TDC'!U9*'Fixed Factors'!$E$9)*'Fixed Factors'!$I$9)</f>
        <v>0</v>
      </c>
      <c r="D9" s="298">
        <f>('Custom Truck TDC'!J9*(1-'Custom Truck TDC'!V9)*'Fixed Factors'!$D$5+'Custom Truck TDC'!J9*'Custom Truck TDC'!V9*'Fixed Factors'!$E$5)+(('Custom Truck TDC'!J9*(1-'Custom Truck TDC'!V9)*'Fixed Factors'!$D$10+'Custom Truck TDC'!J9*'Custom Truck TDC'!V9*'Fixed Factors'!$E$10)*'Fixed Factors'!$I$8)</f>
        <v>2561936.1689341189</v>
      </c>
      <c r="E9" s="298">
        <f>('Custom Truck TDC'!K9*(1-'Custom Truck TDC'!W9)*'Fixed Factors'!$D$3+'Custom Truck TDC'!K9*'Custom Truck TDC'!W9*'Fixed Factors'!$E$3)+(('Custom Truck TDC'!K9*(1-'Custom Truck TDC'!W9)*'Fixed Factors'!$D$8+'Custom Truck TDC'!K9*'Custom Truck TDC'!W9*'Fixed Factors'!$E$8)*'Fixed Factors'!$I$9)</f>
        <v>0</v>
      </c>
      <c r="F9" s="298">
        <f>('Custom Truck TDC'!L9*(1-'Custom Truck TDC'!X9)*'Fixed Factors'!$D$4+'Custom Truck TDC'!L9*'Custom Truck TDC'!X9*'Fixed Factors'!$E$4)+(('Custom Truck TDC'!L9*(1-'Custom Truck TDC'!X9)*'Fixed Factors'!$D$9+'Custom Truck TDC'!L9*'Custom Truck TDC'!X9*'Fixed Factors'!$E$9)*'Fixed Factors'!$I$9)</f>
        <v>0</v>
      </c>
      <c r="G9" s="298">
        <f>('Custom Truck TDC'!M9*(1-'Custom Truck TDC'!Y9)*'Fixed Factors'!$D$5+'Custom Truck TDC'!M9*'Custom Truck TDC'!Y9*'Fixed Factors'!$E$5)+(('Custom Truck TDC'!M9*(1-'Custom Truck TDC'!Y9)*'Fixed Factors'!$D$10+'Custom Truck TDC'!M9*'Custom Truck TDC'!Y9*'Fixed Factors'!$E$10)*'Fixed Factors'!$I$8)</f>
        <v>2561936.1689341189</v>
      </c>
      <c r="H9" s="299">
        <f>'Custom Truck TDC'!N9*'Fixed Factors'!$I$13*'Fixed Factors'!$C$13</f>
        <v>0</v>
      </c>
      <c r="I9" s="299">
        <f>'Custom Truck TDC'!O9*'Fixed Factors'!$I$14*'Fixed Factors'!$C$14</f>
        <v>0</v>
      </c>
      <c r="J9" s="299">
        <f>'Custom Truck TDC'!P9*'Fixed Factors'!$I$15*'Fixed Factors'!$C$15</f>
        <v>842501.11814733478</v>
      </c>
      <c r="K9" s="300">
        <f>'Custom Truck TDC'!Q9*'Fixed Factors'!$I$13*'Fixed Factors'!$C$13</f>
        <v>0</v>
      </c>
      <c r="L9" s="300">
        <f>'Custom Truck TDC'!R9*'Fixed Factors'!$I$14*'Fixed Factors'!$C$14</f>
        <v>0</v>
      </c>
      <c r="M9" s="300">
        <f>'Custom Truck TDC'!S9*'Fixed Factors'!$I$15*'Fixed Factors'!$C$15</f>
        <v>842501.11814733478</v>
      </c>
      <c r="N9" s="300">
        <f>'Custom Truck TDC'!P9*'Custom Truck Shipper-Logistics'!$I$5*'Custom Truck Shipper-Logistics'!$I$7*SUMPRODUCT('Custom Truck Shipper-Logistics'!$D$6:$D$48,'Custom Truck Shipper-Logistics'!$N$6:$N$48)</f>
        <v>2437291.106180131</v>
      </c>
      <c r="O9" s="300">
        <f>'Custom Truck TDC'!S9*'Custom Truck Shipper-Logistics'!$I$5*'Custom Truck Shipper-Logistics'!$I$7*SUMPRODUCT('Custom Truck Shipper-Logistics'!$D$6:$D$48,'Custom Truck Shipper-Logistics'!$N$6:$N$48)</f>
        <v>2437291.106180131</v>
      </c>
      <c r="P9" s="299">
        <f>'Custom Truck TDC'!Z9*'Fixed Factors'!$D$13</f>
        <v>0</v>
      </c>
      <c r="Q9" s="299">
        <f>'Custom Truck TDC'!AA9*'Fixed Factors'!$D$14</f>
        <v>0</v>
      </c>
      <c r="R9" s="299">
        <f>'Custom Truck TDC'!AB9*'Fixed Factors'!$D$15</f>
        <v>50641.018914094631</v>
      </c>
      <c r="S9" s="299">
        <f>'Custom Truck TDC'!AC9*'Fixed Factors'!$D$13</f>
        <v>0</v>
      </c>
      <c r="T9" s="299">
        <f>'Custom Truck TDC'!AD9*'Fixed Factors'!$D$14</f>
        <v>0</v>
      </c>
      <c r="U9" s="299">
        <f>'Custom Truck TDC'!AE9*'Fixed Factors'!$D$15</f>
        <v>50641.018914094631</v>
      </c>
      <c r="V9" s="300">
        <f>'Custom Truck TDC'!AF9*'Fixed Factors'!$G$3</f>
        <v>184718.85326633247</v>
      </c>
      <c r="W9" s="300">
        <f>'Custom Truck TDC'!AG9*'Fixed Factors'!$H$3</f>
        <v>150666.91196641736</v>
      </c>
      <c r="X9" s="300">
        <f>'Custom Truck TDC'!AH9*'Fixed Factors'!$I$3</f>
        <v>13571.585724738896</v>
      </c>
      <c r="Y9" s="300">
        <f>'Custom Truck TDC'!AI9*'Fixed Factors'!$G$3</f>
        <v>184718.85326633247</v>
      </c>
      <c r="Z9" s="300">
        <f>'Custom Truck TDC'!AJ9*'Fixed Factors'!$H$3</f>
        <v>150666.91196641736</v>
      </c>
      <c r="AA9" s="300">
        <f>'Custom Truck TDC'!AK9*'Fixed Factors'!$I$3</f>
        <v>13571.585724738896</v>
      </c>
      <c r="AB9" s="300">
        <f>'Custom Truck TDC'!H9*'Custom Truck TDC'!T9*'Fixed Factors'!$E$29+'Custom Truck TDC'!H9*(1-'Custom Truck TDC'!T9)*'Fixed Factors'!$D$29</f>
        <v>0</v>
      </c>
      <c r="AC9" s="300">
        <f>'Custom Truck TDC'!I9*'Custom Truck TDC'!U9*'Fixed Factors'!$E$30+'Custom Truck TDC'!I9*(1-'Custom Truck TDC'!U9)*'Fixed Factors'!$D$30</f>
        <v>0</v>
      </c>
      <c r="AD9" s="300">
        <f>'Custom Truck TDC'!J9*'Custom Truck TDC'!V9*'Fixed Factors'!$E$31+'Custom Truck TDC'!J9*(1-'Custom Truck TDC'!V9)*'Fixed Factors'!$D$31</f>
        <v>376593.54955492768</v>
      </c>
      <c r="AE9" s="300">
        <f>'Custom Truck TDC'!K9*'Custom Truck TDC'!W9*'Fixed Factors'!$E$29+'Custom Truck TDC'!K9*(1-'Custom Truck TDC'!W9)*'Fixed Factors'!$D$29</f>
        <v>0</v>
      </c>
      <c r="AF9" s="300">
        <f>'Custom Truck TDC'!L9*'Custom Truck TDC'!X9*'Fixed Factors'!$E$30+'Custom Truck TDC'!L9*(1-'Custom Truck TDC'!X9)*'Fixed Factors'!$D$30</f>
        <v>0</v>
      </c>
      <c r="AG9" s="300">
        <f>'Custom Truck TDC'!M9*'Custom Truck TDC'!Y9*'Fixed Factors'!$E$31+'Custom Truck TDC'!M9*(1-'Custom Truck TDC'!Y9)*'Fixed Factors'!$D$31</f>
        <v>376593.54955492768</v>
      </c>
    </row>
    <row r="10" spans="1:36" x14ac:dyDescent="0.25">
      <c r="A10" s="70">
        <f>'Custom Truck TDC'!A10</f>
        <v>2023</v>
      </c>
      <c r="B10" s="298">
        <f>('Custom Truck TDC'!H10*(1-'Custom Truck TDC'!T10)*'Fixed Factors'!$D$3+'Custom Truck TDC'!H10*'Custom Truck TDC'!T10*'Fixed Factors'!$E$3)+(('Custom Truck TDC'!H10*(1-'Custom Truck TDC'!T10)*'Fixed Factors'!$D$8+'Custom Truck TDC'!H10*'Custom Truck TDC'!T10*'Fixed Factors'!$E$8)*'Fixed Factors'!$I$9)</f>
        <v>0</v>
      </c>
      <c r="C10" s="298">
        <f>('Custom Truck TDC'!I10*(1-'Custom Truck TDC'!U10)*'Fixed Factors'!$D$4+'Custom Truck TDC'!I10*'Custom Truck TDC'!U10*'Fixed Factors'!$E$4)+(('Custom Truck TDC'!I10*(1-'Custom Truck TDC'!U10)*'Fixed Factors'!$D$9+'Custom Truck TDC'!I10*'Custom Truck TDC'!U10*'Fixed Factors'!$E$9)*'Fixed Factors'!$I$9)</f>
        <v>0</v>
      </c>
      <c r="D10" s="298">
        <f>('Custom Truck TDC'!J10*(1-'Custom Truck TDC'!V10)*'Fixed Factors'!$D$5+'Custom Truck TDC'!J10*'Custom Truck TDC'!V10*'Fixed Factors'!$E$5)+(('Custom Truck TDC'!J10*(1-'Custom Truck TDC'!V10)*'Fixed Factors'!$D$10+'Custom Truck TDC'!J10*'Custom Truck TDC'!V10*'Fixed Factors'!$E$10)*'Fixed Factors'!$I$8)</f>
        <v>2611131.5748642571</v>
      </c>
      <c r="E10" s="298">
        <f>('Custom Truck TDC'!K10*(1-'Custom Truck TDC'!W10)*'Fixed Factors'!$D$3+'Custom Truck TDC'!K10*'Custom Truck TDC'!W10*'Fixed Factors'!$E$3)+(('Custom Truck TDC'!K10*(1-'Custom Truck TDC'!W10)*'Fixed Factors'!$D$8+'Custom Truck TDC'!K10*'Custom Truck TDC'!W10*'Fixed Factors'!$E$8)*'Fixed Factors'!$I$9)</f>
        <v>0</v>
      </c>
      <c r="F10" s="298">
        <f>('Custom Truck TDC'!L10*(1-'Custom Truck TDC'!X10)*'Fixed Factors'!$D$4+'Custom Truck TDC'!L10*'Custom Truck TDC'!X10*'Fixed Factors'!$E$4)+(('Custom Truck TDC'!L10*(1-'Custom Truck TDC'!X10)*'Fixed Factors'!$D$9+'Custom Truck TDC'!L10*'Custom Truck TDC'!X10*'Fixed Factors'!$E$9)*'Fixed Factors'!$I$9)</f>
        <v>0</v>
      </c>
      <c r="G10" s="298">
        <f>('Custom Truck TDC'!M10*(1-'Custom Truck TDC'!Y10)*'Fixed Factors'!$D$5+'Custom Truck TDC'!M10*'Custom Truck TDC'!Y10*'Fixed Factors'!$E$5)+(('Custom Truck TDC'!M10*(1-'Custom Truck TDC'!Y10)*'Fixed Factors'!$D$10+'Custom Truck TDC'!M10*'Custom Truck TDC'!Y10*'Fixed Factors'!$E$10)*'Fixed Factors'!$I$8)</f>
        <v>2611131.5748642571</v>
      </c>
      <c r="H10" s="299">
        <f>'Custom Truck TDC'!N10*'Fixed Factors'!$I$13*'Fixed Factors'!$C$13</f>
        <v>0</v>
      </c>
      <c r="I10" s="299">
        <f>'Custom Truck TDC'!O10*'Fixed Factors'!$I$14*'Fixed Factors'!$C$14</f>
        <v>0</v>
      </c>
      <c r="J10" s="299">
        <f>'Custom Truck TDC'!P10*'Fixed Factors'!$I$15*'Fixed Factors'!$C$15</f>
        <v>858679.1888605865</v>
      </c>
      <c r="K10" s="300">
        <f>'Custom Truck TDC'!Q10*'Fixed Factors'!$I$13*'Fixed Factors'!$C$13</f>
        <v>0</v>
      </c>
      <c r="L10" s="300">
        <f>'Custom Truck TDC'!R10*'Fixed Factors'!$I$14*'Fixed Factors'!$C$14</f>
        <v>0</v>
      </c>
      <c r="M10" s="300">
        <f>'Custom Truck TDC'!S10*'Fixed Factors'!$I$15*'Fixed Factors'!$C$15</f>
        <v>858679.1888605865</v>
      </c>
      <c r="N10" s="300">
        <f>'Custom Truck TDC'!P10*'Custom Truck Shipper-Logistics'!$I$5*'Custom Truck Shipper-Logistics'!$I$7*SUMPRODUCT('Custom Truck Shipper-Logistics'!$D$6:$D$48,'Custom Truck Shipper-Logistics'!$N$6:$N$48)</f>
        <v>2484093.0237268629</v>
      </c>
      <c r="O10" s="300">
        <f>'Custom Truck TDC'!S10*'Custom Truck Shipper-Logistics'!$I$5*'Custom Truck Shipper-Logistics'!$I$7*SUMPRODUCT('Custom Truck Shipper-Logistics'!$D$6:$D$48,'Custom Truck Shipper-Logistics'!$N$6:$N$48)</f>
        <v>2484093.0237268629</v>
      </c>
      <c r="P10" s="299">
        <f>'Custom Truck TDC'!Z10*'Fixed Factors'!$D$13</f>
        <v>0</v>
      </c>
      <c r="Q10" s="299">
        <f>'Custom Truck TDC'!AA10*'Fixed Factors'!$D$14</f>
        <v>0</v>
      </c>
      <c r="R10" s="299">
        <f>'Custom Truck TDC'!AB10*'Fixed Factors'!$D$15</f>
        <v>51613.449653159907</v>
      </c>
      <c r="S10" s="299">
        <f>'Custom Truck TDC'!AC10*'Fixed Factors'!$D$13</f>
        <v>0</v>
      </c>
      <c r="T10" s="299">
        <f>'Custom Truck TDC'!AD10*'Fixed Factors'!$D$14</f>
        <v>0</v>
      </c>
      <c r="U10" s="299">
        <f>'Custom Truck TDC'!AE10*'Fixed Factors'!$D$15</f>
        <v>51613.449653159907</v>
      </c>
      <c r="V10" s="300">
        <f>'Custom Truck TDC'!AF10*'Fixed Factors'!$G$3</f>
        <v>188265.90454714856</v>
      </c>
      <c r="W10" s="300">
        <f>'Custom Truck TDC'!AG10*'Fixed Factors'!$H$3</f>
        <v>153560.08314855187</v>
      </c>
      <c r="X10" s="300">
        <f>'Custom Truck TDC'!AH10*'Fixed Factors'!$I$3</f>
        <v>13832.193181294682</v>
      </c>
      <c r="Y10" s="300">
        <f>'Custom Truck TDC'!AI10*'Fixed Factors'!$G$3</f>
        <v>188265.90454714856</v>
      </c>
      <c r="Z10" s="300">
        <f>'Custom Truck TDC'!AJ10*'Fixed Factors'!$H$3</f>
        <v>153560.08314855187</v>
      </c>
      <c r="AA10" s="300">
        <f>'Custom Truck TDC'!AK10*'Fixed Factors'!$I$3</f>
        <v>13832.193181294682</v>
      </c>
      <c r="AB10" s="300">
        <f>'Custom Truck TDC'!H10*'Custom Truck TDC'!T10*'Fixed Factors'!$E$29+'Custom Truck TDC'!H10*(1-'Custom Truck TDC'!T10)*'Fixed Factors'!$D$29</f>
        <v>0</v>
      </c>
      <c r="AC10" s="300">
        <f>'Custom Truck TDC'!I10*'Custom Truck TDC'!U10*'Fixed Factors'!$E$30+'Custom Truck TDC'!I10*(1-'Custom Truck TDC'!U10)*'Fixed Factors'!$D$30</f>
        <v>0</v>
      </c>
      <c r="AD10" s="300">
        <f>'Custom Truck TDC'!J10*'Custom Truck TDC'!V10*'Fixed Factors'!$E$31+'Custom Truck TDC'!J10*(1-'Custom Truck TDC'!V10)*'Fixed Factors'!$D$31</f>
        <v>383825.06170799362</v>
      </c>
      <c r="AE10" s="300">
        <f>'Custom Truck TDC'!K10*'Custom Truck TDC'!W10*'Fixed Factors'!$E$29+'Custom Truck TDC'!K10*(1-'Custom Truck TDC'!W10)*'Fixed Factors'!$D$29</f>
        <v>0</v>
      </c>
      <c r="AF10" s="300">
        <f>'Custom Truck TDC'!L10*'Custom Truck TDC'!X10*'Fixed Factors'!$E$30+'Custom Truck TDC'!L10*(1-'Custom Truck TDC'!X10)*'Fixed Factors'!$D$30</f>
        <v>0</v>
      </c>
      <c r="AG10" s="300">
        <f>'Custom Truck TDC'!M10*'Custom Truck TDC'!Y10*'Fixed Factors'!$E$31+'Custom Truck TDC'!M10*(1-'Custom Truck TDC'!Y10)*'Fixed Factors'!$D$31</f>
        <v>383825.06170799362</v>
      </c>
    </row>
    <row r="11" spans="1:36" x14ac:dyDescent="0.25">
      <c r="A11" s="70">
        <f>'Custom Truck TDC'!A11</f>
        <v>2024</v>
      </c>
      <c r="B11" s="298">
        <f>('Custom Truck TDC'!H11*(1-'Custom Truck TDC'!T11)*'Fixed Factors'!$D$3+'Custom Truck TDC'!H11*'Custom Truck TDC'!T11*'Fixed Factors'!$E$3)+(('Custom Truck TDC'!H11*(1-'Custom Truck TDC'!T11)*'Fixed Factors'!$D$8+'Custom Truck TDC'!H11*'Custom Truck TDC'!T11*'Fixed Factors'!$E$8)*'Fixed Factors'!$I$9)</f>
        <v>0</v>
      </c>
      <c r="C11" s="298">
        <f>('Custom Truck TDC'!I11*(1-'Custom Truck TDC'!U11)*'Fixed Factors'!$D$4+'Custom Truck TDC'!I11*'Custom Truck TDC'!U11*'Fixed Factors'!$E$4)+(('Custom Truck TDC'!I11*(1-'Custom Truck TDC'!U11)*'Fixed Factors'!$D$9+'Custom Truck TDC'!I11*'Custom Truck TDC'!U11*'Fixed Factors'!$E$9)*'Fixed Factors'!$I$9)</f>
        <v>0</v>
      </c>
      <c r="D11" s="298">
        <f>('Custom Truck TDC'!J11*(1-'Custom Truck TDC'!V11)*'Fixed Factors'!$D$5+'Custom Truck TDC'!J11*'Custom Truck TDC'!V11*'Fixed Factors'!$E$5)+(('Custom Truck TDC'!J11*(1-'Custom Truck TDC'!V11)*'Fixed Factors'!$D$10+'Custom Truck TDC'!J11*'Custom Truck TDC'!V11*'Fixed Factors'!$E$10)*'Fixed Factors'!$I$8)</f>
        <v>2661271.6522479532</v>
      </c>
      <c r="E11" s="298">
        <f>('Custom Truck TDC'!K11*(1-'Custom Truck TDC'!W11)*'Fixed Factors'!$D$3+'Custom Truck TDC'!K11*'Custom Truck TDC'!W11*'Fixed Factors'!$E$3)+(('Custom Truck TDC'!K11*(1-'Custom Truck TDC'!W11)*'Fixed Factors'!$D$8+'Custom Truck TDC'!K11*'Custom Truck TDC'!W11*'Fixed Factors'!$E$8)*'Fixed Factors'!$I$9)</f>
        <v>0</v>
      </c>
      <c r="F11" s="298">
        <f>('Custom Truck TDC'!L11*(1-'Custom Truck TDC'!X11)*'Fixed Factors'!$D$4+'Custom Truck TDC'!L11*'Custom Truck TDC'!X11*'Fixed Factors'!$E$4)+(('Custom Truck TDC'!L11*(1-'Custom Truck TDC'!X11)*'Fixed Factors'!$D$9+'Custom Truck TDC'!L11*'Custom Truck TDC'!X11*'Fixed Factors'!$E$9)*'Fixed Factors'!$I$9)</f>
        <v>0</v>
      </c>
      <c r="G11" s="298">
        <f>('Custom Truck TDC'!M11*(1-'Custom Truck TDC'!Y11)*'Fixed Factors'!$D$5+'Custom Truck TDC'!M11*'Custom Truck TDC'!Y11*'Fixed Factors'!$E$5)+(('Custom Truck TDC'!M11*(1-'Custom Truck TDC'!Y11)*'Fixed Factors'!$D$10+'Custom Truck TDC'!M11*'Custom Truck TDC'!Y11*'Fixed Factors'!$E$10)*'Fixed Factors'!$I$8)</f>
        <v>2661271.6522479532</v>
      </c>
      <c r="H11" s="299">
        <f>'Custom Truck TDC'!N11*'Fixed Factors'!$I$13*'Fixed Factors'!$C$13</f>
        <v>0</v>
      </c>
      <c r="I11" s="299">
        <f>'Custom Truck TDC'!O11*'Fixed Factors'!$I$14*'Fixed Factors'!$C$14</f>
        <v>0</v>
      </c>
      <c r="J11" s="299">
        <f>'Custom Truck TDC'!P11*'Fixed Factors'!$I$15*'Fixed Factors'!$C$15</f>
        <v>875167.91788201767</v>
      </c>
      <c r="K11" s="300">
        <f>'Custom Truck TDC'!Q11*'Fixed Factors'!$I$13*'Fixed Factors'!$C$13</f>
        <v>0</v>
      </c>
      <c r="L11" s="300">
        <f>'Custom Truck TDC'!R11*'Fixed Factors'!$I$14*'Fixed Factors'!$C$14</f>
        <v>0</v>
      </c>
      <c r="M11" s="300">
        <f>'Custom Truck TDC'!S11*'Fixed Factors'!$I$15*'Fixed Factors'!$C$15</f>
        <v>875167.91788201767</v>
      </c>
      <c r="N11" s="300">
        <f>'Custom Truck TDC'!P11*'Custom Truck Shipper-Logistics'!$I$5*'Custom Truck Shipper-Logistics'!$I$7*SUMPRODUCT('Custom Truck Shipper-Logistics'!$D$6:$D$48,'Custom Truck Shipper-Logistics'!$N$6:$N$48)</f>
        <v>2531793.6519284281</v>
      </c>
      <c r="O11" s="300">
        <f>'Custom Truck TDC'!S11*'Custom Truck Shipper-Logistics'!$I$5*'Custom Truck Shipper-Logistics'!$I$7*SUMPRODUCT('Custom Truck Shipper-Logistics'!$D$6:$D$48,'Custom Truck Shipper-Logistics'!$N$6:$N$48)</f>
        <v>2531793.6519284281</v>
      </c>
      <c r="P11" s="299">
        <f>'Custom Truck TDC'!Z11*'Fixed Factors'!$D$13</f>
        <v>0</v>
      </c>
      <c r="Q11" s="299">
        <f>'Custom Truck TDC'!AA11*'Fixed Factors'!$D$14</f>
        <v>0</v>
      </c>
      <c r="R11" s="299">
        <f>'Custom Truck TDC'!AB11*'Fixed Factors'!$D$15</f>
        <v>52604.553427692408</v>
      </c>
      <c r="S11" s="299">
        <f>'Custom Truck TDC'!AC11*'Fixed Factors'!$D$13</f>
        <v>0</v>
      </c>
      <c r="T11" s="299">
        <f>'Custom Truck TDC'!AD11*'Fixed Factors'!$D$14</f>
        <v>0</v>
      </c>
      <c r="U11" s="299">
        <f>'Custom Truck TDC'!AE11*'Fixed Factors'!$D$15</f>
        <v>52604.553427692408</v>
      </c>
      <c r="V11" s="300">
        <f>'Custom Truck TDC'!AF11*'Fixed Factors'!$G$3</f>
        <v>191881.06784017273</v>
      </c>
      <c r="W11" s="300">
        <f>'Custom Truck TDC'!AG11*'Fixed Factors'!$H$3</f>
        <v>156508.8102545444</v>
      </c>
      <c r="X11" s="300">
        <f>'Custom Truck TDC'!AH11*'Fixed Factors'!$I$3</f>
        <v>14097.804934900936</v>
      </c>
      <c r="Y11" s="300">
        <f>'Custom Truck TDC'!AI11*'Fixed Factors'!$G$3</f>
        <v>191881.06784017273</v>
      </c>
      <c r="Z11" s="300">
        <f>'Custom Truck TDC'!AJ11*'Fixed Factors'!$H$3</f>
        <v>156508.8102545444</v>
      </c>
      <c r="AA11" s="300">
        <f>'Custom Truck TDC'!AK11*'Fixed Factors'!$I$3</f>
        <v>14097.804934900936</v>
      </c>
      <c r="AB11" s="300">
        <f>'Custom Truck TDC'!H11*'Custom Truck TDC'!T11*'Fixed Factors'!$E$29+'Custom Truck TDC'!H11*(1-'Custom Truck TDC'!T11)*'Fixed Factors'!$D$29</f>
        <v>0</v>
      </c>
      <c r="AC11" s="300">
        <f>'Custom Truck TDC'!I11*'Custom Truck TDC'!U11*'Fixed Factors'!$E$30+'Custom Truck TDC'!I11*(1-'Custom Truck TDC'!U11)*'Fixed Factors'!$D$30</f>
        <v>0</v>
      </c>
      <c r="AD11" s="300">
        <f>'Custom Truck TDC'!J11*'Custom Truck TDC'!V11*'Fixed Factors'!$E$31+'Custom Truck TDC'!J11*(1-'Custom Truck TDC'!V11)*'Fixed Factors'!$D$31</f>
        <v>391195.43648385728</v>
      </c>
      <c r="AE11" s="300">
        <f>'Custom Truck TDC'!K11*'Custom Truck TDC'!W11*'Fixed Factors'!$E$29+'Custom Truck TDC'!K11*(1-'Custom Truck TDC'!W11)*'Fixed Factors'!$D$29</f>
        <v>0</v>
      </c>
      <c r="AF11" s="300">
        <f>'Custom Truck TDC'!L11*'Custom Truck TDC'!X11*'Fixed Factors'!$E$30+'Custom Truck TDC'!L11*(1-'Custom Truck TDC'!X11)*'Fixed Factors'!$D$30</f>
        <v>0</v>
      </c>
      <c r="AG11" s="300">
        <f>'Custom Truck TDC'!M11*'Custom Truck TDC'!Y11*'Fixed Factors'!$E$31+'Custom Truck TDC'!M11*(1-'Custom Truck TDC'!Y11)*'Fixed Factors'!$D$31</f>
        <v>391195.43648385728</v>
      </c>
    </row>
    <row r="12" spans="1:36" x14ac:dyDescent="0.25">
      <c r="A12" s="70">
        <f>'Custom Truck TDC'!A12</f>
        <v>2025</v>
      </c>
      <c r="B12" s="298">
        <f>('Custom Truck TDC'!H12*(1-'Custom Truck TDC'!T12)*'Fixed Factors'!$D$3+'Custom Truck TDC'!H12*'Custom Truck TDC'!T12*'Fixed Factors'!$E$3)+(('Custom Truck TDC'!H12*(1-'Custom Truck TDC'!T12)*'Fixed Factors'!$D$8+'Custom Truck TDC'!H12*'Custom Truck TDC'!T12*'Fixed Factors'!$E$8)*'Fixed Factors'!$I$9)</f>
        <v>0</v>
      </c>
      <c r="C12" s="298">
        <f>('Custom Truck TDC'!I12*(1-'Custom Truck TDC'!U12)*'Fixed Factors'!$D$4+'Custom Truck TDC'!I12*'Custom Truck TDC'!U12*'Fixed Factors'!$E$4)+(('Custom Truck TDC'!I12*(1-'Custom Truck TDC'!U12)*'Fixed Factors'!$D$9+'Custom Truck TDC'!I12*'Custom Truck TDC'!U12*'Fixed Factors'!$E$9)*'Fixed Factors'!$I$9)</f>
        <v>0</v>
      </c>
      <c r="D12" s="298">
        <f>('Custom Truck TDC'!J12*(1-'Custom Truck TDC'!V12)*'Fixed Factors'!$D$5+'Custom Truck TDC'!J12*'Custom Truck TDC'!V12*'Fixed Factors'!$E$5)+(('Custom Truck TDC'!J12*(1-'Custom Truck TDC'!V12)*'Fixed Factors'!$D$10+'Custom Truck TDC'!J12*'Custom Truck TDC'!V12*'Fixed Factors'!$E$10)*'Fixed Factors'!$I$8)</f>
        <v>2712374.5410748739</v>
      </c>
      <c r="E12" s="298">
        <f>('Custom Truck TDC'!K12*(1-'Custom Truck TDC'!W12)*'Fixed Factors'!$D$3+'Custom Truck TDC'!K12*'Custom Truck TDC'!W12*'Fixed Factors'!$E$3)+(('Custom Truck TDC'!K12*(1-'Custom Truck TDC'!W12)*'Fixed Factors'!$D$8+'Custom Truck TDC'!K12*'Custom Truck TDC'!W12*'Fixed Factors'!$E$8)*'Fixed Factors'!$I$9)</f>
        <v>0</v>
      </c>
      <c r="F12" s="298">
        <f>('Custom Truck TDC'!L12*(1-'Custom Truck TDC'!X12)*'Fixed Factors'!$D$4+'Custom Truck TDC'!L12*'Custom Truck TDC'!X12*'Fixed Factors'!$E$4)+(('Custom Truck TDC'!L12*(1-'Custom Truck TDC'!X12)*'Fixed Factors'!$D$9+'Custom Truck TDC'!L12*'Custom Truck TDC'!X12*'Fixed Factors'!$E$9)*'Fixed Factors'!$I$9)</f>
        <v>0</v>
      </c>
      <c r="G12" s="298">
        <f>('Custom Truck TDC'!M12*(1-'Custom Truck TDC'!Y12)*'Fixed Factors'!$D$5+'Custom Truck TDC'!M12*'Custom Truck TDC'!Y12*'Fixed Factors'!$E$5)+(('Custom Truck TDC'!M12*(1-'Custom Truck TDC'!Y12)*'Fixed Factors'!$D$10+'Custom Truck TDC'!M12*'Custom Truck TDC'!Y12*'Fixed Factors'!$E$10)*'Fixed Factors'!$I$8)</f>
        <v>0</v>
      </c>
      <c r="H12" s="299">
        <f>'Custom Truck TDC'!N12*'Fixed Factors'!$I$13*'Fixed Factors'!$C$13</f>
        <v>0</v>
      </c>
      <c r="I12" s="299">
        <f>'Custom Truck TDC'!O12*'Fixed Factors'!$I$14*'Fixed Factors'!$C$14</f>
        <v>0</v>
      </c>
      <c r="J12" s="299">
        <f>'Custom Truck TDC'!P12*'Fixed Factors'!$I$15*'Fixed Factors'!$C$15</f>
        <v>891973.27060677053</v>
      </c>
      <c r="K12" s="300">
        <f>'Custom Truck TDC'!Q12*'Fixed Factors'!$I$13*'Fixed Factors'!$C$13</f>
        <v>0</v>
      </c>
      <c r="L12" s="300">
        <f>'Custom Truck TDC'!R12*'Fixed Factors'!$I$14*'Fixed Factors'!$C$14</f>
        <v>0</v>
      </c>
      <c r="M12" s="300">
        <f>'Custom Truck TDC'!S12*'Fixed Factors'!$I$15*'Fixed Factors'!$C$15</f>
        <v>0</v>
      </c>
      <c r="N12" s="300">
        <f>'Custom Truck TDC'!P12*'Custom Truck Shipper-Logistics'!$I$5*'Custom Truck Shipper-Logistics'!$I$7*SUMPRODUCT('Custom Truck Shipper-Logistics'!$D$6:$D$48,'Custom Truck Shipper-Logistics'!$N$6:$N$48)</f>
        <v>2580410.2482153624</v>
      </c>
      <c r="O12" s="300">
        <f>'Custom Truck TDC'!S12*'Custom Truck Shipper-Logistics'!$I$5*'Custom Truck Shipper-Logistics'!$I$7*SUMPRODUCT('Custom Truck Shipper-Logistics'!$D$6:$D$48,'Custom Truck Shipper-Logistics'!$N$6:$N$48)</f>
        <v>0</v>
      </c>
      <c r="P12" s="299">
        <f>'Custom Truck TDC'!Z12*'Fixed Factors'!$D$13</f>
        <v>0</v>
      </c>
      <c r="Q12" s="299">
        <f>'Custom Truck TDC'!AA12*'Fixed Factors'!$D$14</f>
        <v>0</v>
      </c>
      <c r="R12" s="299">
        <f>'Custom Truck TDC'!AB12*'Fixed Factors'!$D$15</f>
        <v>53614.688805392187</v>
      </c>
      <c r="S12" s="299">
        <f>'Custom Truck TDC'!AC12*'Fixed Factors'!$D$13</f>
        <v>0</v>
      </c>
      <c r="T12" s="299">
        <f>'Custom Truck TDC'!AD12*'Fixed Factors'!$D$14</f>
        <v>0</v>
      </c>
      <c r="U12" s="299">
        <f>'Custom Truck TDC'!AE12*'Fixed Factors'!$D$15</f>
        <v>0</v>
      </c>
      <c r="V12" s="300">
        <f>'Custom Truck TDC'!AF12*'Fixed Factors'!$G$3</f>
        <v>195565.65106171058</v>
      </c>
      <c r="W12" s="300">
        <f>'Custom Truck TDC'!AG12*'Fixed Factors'!$H$3</f>
        <v>159514.16009326369</v>
      </c>
      <c r="X12" s="300">
        <f>'Custom Truck TDC'!AH12*'Fixed Factors'!$I$3</f>
        <v>14368.51708023315</v>
      </c>
      <c r="Y12" s="300">
        <f>'Custom Truck TDC'!AI12*'Fixed Factors'!$G$3</f>
        <v>0</v>
      </c>
      <c r="Z12" s="300">
        <f>'Custom Truck TDC'!AJ12*'Fixed Factors'!$H$3</f>
        <v>0</v>
      </c>
      <c r="AA12" s="300">
        <f>'Custom Truck TDC'!AK12*'Fixed Factors'!$I$3</f>
        <v>0</v>
      </c>
      <c r="AB12" s="300">
        <f>'Custom Truck TDC'!H12*'Custom Truck TDC'!T12*'Fixed Factors'!$E$29+'Custom Truck TDC'!H12*(1-'Custom Truck TDC'!T12)*'Fixed Factors'!$D$29</f>
        <v>0</v>
      </c>
      <c r="AC12" s="300">
        <f>'Custom Truck TDC'!I12*'Custom Truck TDC'!U12*'Fixed Factors'!$E$30+'Custom Truck TDC'!I12*(1-'Custom Truck TDC'!U12)*'Fixed Factors'!$D$30</f>
        <v>0</v>
      </c>
      <c r="AD12" s="300">
        <f>'Custom Truck TDC'!J12*'Custom Truck TDC'!V12*'Fixed Factors'!$E$31+'Custom Truck TDC'!J12*(1-'Custom Truck TDC'!V12)*'Fixed Factors'!$D$31</f>
        <v>398707.34038263699</v>
      </c>
      <c r="AE12" s="300">
        <f>'Custom Truck TDC'!K12*'Custom Truck TDC'!W12*'Fixed Factors'!$E$29+'Custom Truck TDC'!K12*(1-'Custom Truck TDC'!W12)*'Fixed Factors'!$D$29</f>
        <v>0</v>
      </c>
      <c r="AF12" s="300">
        <f>'Custom Truck TDC'!L12*'Custom Truck TDC'!X12*'Fixed Factors'!$E$30+'Custom Truck TDC'!L12*(1-'Custom Truck TDC'!X12)*'Fixed Factors'!$D$30</f>
        <v>0</v>
      </c>
      <c r="AG12" s="300">
        <f>'Custom Truck TDC'!M12*'Custom Truck TDC'!Y12*'Fixed Factors'!$E$31+'Custom Truck TDC'!M12*(1-'Custom Truck TDC'!Y12)*'Fixed Factors'!$D$31</f>
        <v>0</v>
      </c>
    </row>
    <row r="13" spans="1:36" x14ac:dyDescent="0.25">
      <c r="A13" s="70">
        <f>'Custom Truck TDC'!A13</f>
        <v>2026</v>
      </c>
      <c r="B13" s="298">
        <f>('Custom Truck TDC'!H13*(1-'Custom Truck TDC'!T13)*'Fixed Factors'!$D$3+'Custom Truck TDC'!H13*'Custom Truck TDC'!T13*'Fixed Factors'!$E$3)+(('Custom Truck TDC'!H13*(1-'Custom Truck TDC'!T13)*'Fixed Factors'!$D$8+'Custom Truck TDC'!H13*'Custom Truck TDC'!T13*'Fixed Factors'!$E$8)*'Fixed Factors'!$I$9)</f>
        <v>0</v>
      </c>
      <c r="C13" s="298">
        <f>('Custom Truck TDC'!I13*(1-'Custom Truck TDC'!U13)*'Fixed Factors'!$D$4+'Custom Truck TDC'!I13*'Custom Truck TDC'!U13*'Fixed Factors'!$E$4)+(('Custom Truck TDC'!I13*(1-'Custom Truck TDC'!U13)*'Fixed Factors'!$D$9+'Custom Truck TDC'!I13*'Custom Truck TDC'!U13*'Fixed Factors'!$E$9)*'Fixed Factors'!$I$9)</f>
        <v>0</v>
      </c>
      <c r="D13" s="298">
        <f>('Custom Truck TDC'!J13*(1-'Custom Truck TDC'!V13)*'Fixed Factors'!$D$5+'Custom Truck TDC'!J13*'Custom Truck TDC'!V13*'Fixed Factors'!$E$5)+(('Custom Truck TDC'!J13*(1-'Custom Truck TDC'!V13)*'Fixed Factors'!$D$10+'Custom Truck TDC'!J13*'Custom Truck TDC'!V13*'Fixed Factors'!$E$10)*'Fixed Factors'!$I$8)</f>
        <v>2764458.7296666084</v>
      </c>
      <c r="E13" s="298">
        <f>('Custom Truck TDC'!K13*(1-'Custom Truck TDC'!W13)*'Fixed Factors'!$D$3+'Custom Truck TDC'!K13*'Custom Truck TDC'!W13*'Fixed Factors'!$E$3)+(('Custom Truck TDC'!K13*(1-'Custom Truck TDC'!W13)*'Fixed Factors'!$D$8+'Custom Truck TDC'!K13*'Custom Truck TDC'!W13*'Fixed Factors'!$E$8)*'Fixed Factors'!$I$9)</f>
        <v>0</v>
      </c>
      <c r="F13" s="298">
        <f>('Custom Truck TDC'!L13*(1-'Custom Truck TDC'!X13)*'Fixed Factors'!$D$4+'Custom Truck TDC'!L13*'Custom Truck TDC'!X13*'Fixed Factors'!$E$4)+(('Custom Truck TDC'!L13*(1-'Custom Truck TDC'!X13)*'Fixed Factors'!$D$9+'Custom Truck TDC'!L13*'Custom Truck TDC'!X13*'Fixed Factors'!$E$9)*'Fixed Factors'!$I$9)</f>
        <v>0</v>
      </c>
      <c r="G13" s="298">
        <f>('Custom Truck TDC'!M13*(1-'Custom Truck TDC'!Y13)*'Fixed Factors'!$D$5+'Custom Truck TDC'!M13*'Custom Truck TDC'!Y13*'Fixed Factors'!$E$5)+(('Custom Truck TDC'!M13*(1-'Custom Truck TDC'!Y13)*'Fixed Factors'!$D$10+'Custom Truck TDC'!M13*'Custom Truck TDC'!Y13*'Fixed Factors'!$E$10)*'Fixed Factors'!$I$8)</f>
        <v>0</v>
      </c>
      <c r="H13" s="299">
        <f>'Custom Truck TDC'!N13*'Fixed Factors'!$I$13*'Fixed Factors'!$C$13</f>
        <v>0</v>
      </c>
      <c r="I13" s="299">
        <f>'Custom Truck TDC'!O13*'Fixed Factors'!$I$14*'Fixed Factors'!$C$14</f>
        <v>0</v>
      </c>
      <c r="J13" s="299">
        <f>'Custom Truck TDC'!P13*'Fixed Factors'!$I$15*'Fixed Factors'!$C$15</f>
        <v>909101.32698008348</v>
      </c>
      <c r="K13" s="300">
        <f>'Custom Truck TDC'!Q13*'Fixed Factors'!$I$13*'Fixed Factors'!$C$13</f>
        <v>0</v>
      </c>
      <c r="L13" s="300">
        <f>'Custom Truck TDC'!R13*'Fixed Factors'!$I$14*'Fixed Factors'!$C$14</f>
        <v>0</v>
      </c>
      <c r="M13" s="300">
        <f>'Custom Truck TDC'!S13*'Fixed Factors'!$I$15*'Fixed Factors'!$C$15</f>
        <v>0</v>
      </c>
      <c r="N13" s="300">
        <f>'Custom Truck TDC'!P13*'Custom Truck Shipper-Logistics'!$I$5*'Custom Truck Shipper-Logistics'!$I$7*SUMPRODUCT('Custom Truck Shipper-Logistics'!$D$6:$D$48,'Custom Truck Shipper-Logistics'!$N$6:$N$48)</f>
        <v>2629960.4014028474</v>
      </c>
      <c r="O13" s="300">
        <f>'Custom Truck TDC'!S13*'Custom Truck Shipper-Logistics'!$I$5*'Custom Truck Shipper-Logistics'!$I$7*SUMPRODUCT('Custom Truck Shipper-Logistics'!$D$6:$D$48,'Custom Truck Shipper-Logistics'!$N$6:$N$48)</f>
        <v>0</v>
      </c>
      <c r="P13" s="299">
        <f>'Custom Truck TDC'!Z13*'Fixed Factors'!$D$13</f>
        <v>0</v>
      </c>
      <c r="Q13" s="299">
        <f>'Custom Truck TDC'!AA13*'Fixed Factors'!$D$14</f>
        <v>0</v>
      </c>
      <c r="R13" s="299">
        <f>'Custom Truck TDC'!AB13*'Fixed Factors'!$D$15</f>
        <v>54644.221239331258</v>
      </c>
      <c r="S13" s="299">
        <f>'Custom Truck TDC'!AC13*'Fixed Factors'!$D$13</f>
        <v>0</v>
      </c>
      <c r="T13" s="299">
        <f>'Custom Truck TDC'!AD13*'Fixed Factors'!$D$14</f>
        <v>0</v>
      </c>
      <c r="U13" s="299">
        <f>'Custom Truck TDC'!AE13*'Fixed Factors'!$D$15</f>
        <v>0</v>
      </c>
      <c r="V13" s="300">
        <f>'Custom Truck TDC'!AF13*'Fixed Factors'!$G$3</f>
        <v>199320.9872432421</v>
      </c>
      <c r="W13" s="300">
        <f>'Custom Truck TDC'!AG13*'Fixed Factors'!$H$3</f>
        <v>162577.2199589035</v>
      </c>
      <c r="X13" s="300">
        <f>'Custom Truck TDC'!AH13*'Fixed Factors'!$I$3</f>
        <v>14644.427557218327</v>
      </c>
      <c r="Y13" s="300">
        <f>'Custom Truck TDC'!AI13*'Fixed Factors'!$G$3</f>
        <v>0</v>
      </c>
      <c r="Z13" s="300">
        <f>'Custom Truck TDC'!AJ13*'Fixed Factors'!$H$3</f>
        <v>0</v>
      </c>
      <c r="AA13" s="300">
        <f>'Custom Truck TDC'!AK13*'Fixed Factors'!$I$3</f>
        <v>0</v>
      </c>
      <c r="AB13" s="300">
        <f>'Custom Truck TDC'!H13*'Custom Truck TDC'!T13*'Fixed Factors'!$E$29+'Custom Truck TDC'!H13*(1-'Custom Truck TDC'!T13)*'Fixed Factors'!$D$29</f>
        <v>0</v>
      </c>
      <c r="AC13" s="300">
        <f>'Custom Truck TDC'!I13*'Custom Truck TDC'!U13*'Fixed Factors'!$E$30+'Custom Truck TDC'!I13*(1-'Custom Truck TDC'!U13)*'Fixed Factors'!$D$30</f>
        <v>0</v>
      </c>
      <c r="AD13" s="300">
        <f>'Custom Truck TDC'!J13*'Custom Truck TDC'!V13*'Fixed Factors'!$E$31+'Custom Truck TDC'!J13*(1-'Custom Truck TDC'!V13)*'Fixed Factors'!$D$31</f>
        <v>406363.49110773881</v>
      </c>
      <c r="AE13" s="300">
        <f>'Custom Truck TDC'!K13*'Custom Truck TDC'!W13*'Fixed Factors'!$E$29+'Custom Truck TDC'!K13*(1-'Custom Truck TDC'!W13)*'Fixed Factors'!$D$29</f>
        <v>0</v>
      </c>
      <c r="AF13" s="300">
        <f>'Custom Truck TDC'!L13*'Custom Truck TDC'!X13*'Fixed Factors'!$E$30+'Custom Truck TDC'!L13*(1-'Custom Truck TDC'!X13)*'Fixed Factors'!$D$30</f>
        <v>0</v>
      </c>
      <c r="AG13" s="300">
        <f>'Custom Truck TDC'!M13*'Custom Truck TDC'!Y13*'Fixed Factors'!$E$31+'Custom Truck TDC'!M13*(1-'Custom Truck TDC'!Y13)*'Fixed Factors'!$D$31</f>
        <v>0</v>
      </c>
    </row>
    <row r="14" spans="1:36" x14ac:dyDescent="0.25">
      <c r="A14" s="70">
        <f>'Custom Truck TDC'!A14</f>
        <v>2027</v>
      </c>
      <c r="B14" s="298">
        <f>('Custom Truck TDC'!H14*(1-'Custom Truck TDC'!T14)*'Fixed Factors'!$D$3+'Custom Truck TDC'!H14*'Custom Truck TDC'!T14*'Fixed Factors'!$E$3)+(('Custom Truck TDC'!H14*(1-'Custom Truck TDC'!T14)*'Fixed Factors'!$D$8+'Custom Truck TDC'!H14*'Custom Truck TDC'!T14*'Fixed Factors'!$E$8)*'Fixed Factors'!$I$9)</f>
        <v>0</v>
      </c>
      <c r="C14" s="298">
        <f>('Custom Truck TDC'!I14*(1-'Custom Truck TDC'!U14)*'Fixed Factors'!$D$4+'Custom Truck TDC'!I14*'Custom Truck TDC'!U14*'Fixed Factors'!$E$4)+(('Custom Truck TDC'!I14*(1-'Custom Truck TDC'!U14)*'Fixed Factors'!$D$9+'Custom Truck TDC'!I14*'Custom Truck TDC'!U14*'Fixed Factors'!$E$9)*'Fixed Factors'!$I$9)</f>
        <v>0</v>
      </c>
      <c r="D14" s="298">
        <f>('Custom Truck TDC'!J14*(1-'Custom Truck TDC'!V14)*'Fixed Factors'!$D$5+'Custom Truck TDC'!J14*'Custom Truck TDC'!V14*'Fixed Factors'!$E$5)+(('Custom Truck TDC'!J14*(1-'Custom Truck TDC'!V14)*'Fixed Factors'!$D$10+'Custom Truck TDC'!J14*'Custom Truck TDC'!V14*'Fixed Factors'!$E$10)*'Fixed Factors'!$I$8)</f>
        <v>2817543.0613654908</v>
      </c>
      <c r="E14" s="298">
        <f>('Custom Truck TDC'!K14*(1-'Custom Truck TDC'!W14)*'Fixed Factors'!$D$3+'Custom Truck TDC'!K14*'Custom Truck TDC'!W14*'Fixed Factors'!$E$3)+(('Custom Truck TDC'!K14*(1-'Custom Truck TDC'!W14)*'Fixed Factors'!$D$8+'Custom Truck TDC'!K14*'Custom Truck TDC'!W14*'Fixed Factors'!$E$8)*'Fixed Factors'!$I$9)</f>
        <v>0</v>
      </c>
      <c r="F14" s="298">
        <f>('Custom Truck TDC'!L14*(1-'Custom Truck TDC'!X14)*'Fixed Factors'!$D$4+'Custom Truck TDC'!L14*'Custom Truck TDC'!X14*'Fixed Factors'!$E$4)+(('Custom Truck TDC'!L14*(1-'Custom Truck TDC'!X14)*'Fixed Factors'!$D$9+'Custom Truck TDC'!L14*'Custom Truck TDC'!X14*'Fixed Factors'!$E$9)*'Fixed Factors'!$I$9)</f>
        <v>0</v>
      </c>
      <c r="G14" s="298">
        <f>('Custom Truck TDC'!M14*(1-'Custom Truck TDC'!Y14)*'Fixed Factors'!$D$5+'Custom Truck TDC'!M14*'Custom Truck TDC'!Y14*'Fixed Factors'!$E$5)+(('Custom Truck TDC'!M14*(1-'Custom Truck TDC'!Y14)*'Fixed Factors'!$D$10+'Custom Truck TDC'!M14*'Custom Truck TDC'!Y14*'Fixed Factors'!$E$10)*'Fixed Factors'!$I$8)</f>
        <v>0</v>
      </c>
      <c r="H14" s="299">
        <f>'Custom Truck TDC'!N14*'Fixed Factors'!$I$13*'Fixed Factors'!$C$13</f>
        <v>0</v>
      </c>
      <c r="I14" s="299">
        <f>'Custom Truck TDC'!O14*'Fixed Factors'!$I$14*'Fixed Factors'!$C$14</f>
        <v>0</v>
      </c>
      <c r="J14" s="299">
        <f>'Custom Truck TDC'!P14*'Fixed Factors'!$I$15*'Fixed Factors'!$C$15</f>
        <v>926558.28369693225</v>
      </c>
      <c r="K14" s="300">
        <f>'Custom Truck TDC'!Q14*'Fixed Factors'!$I$13*'Fixed Factors'!$C$13</f>
        <v>0</v>
      </c>
      <c r="L14" s="300">
        <f>'Custom Truck TDC'!R14*'Fixed Factors'!$I$14*'Fixed Factors'!$C$14</f>
        <v>0</v>
      </c>
      <c r="M14" s="300">
        <f>'Custom Truck TDC'!S14*'Fixed Factors'!$I$15*'Fixed Factors'!$C$15</f>
        <v>0</v>
      </c>
      <c r="N14" s="300">
        <f>'Custom Truck TDC'!P14*'Custom Truck Shipper-Logistics'!$I$5*'Custom Truck Shipper-Logistics'!$I$7*SUMPRODUCT('Custom Truck Shipper-Logistics'!$D$6:$D$48,'Custom Truck Shipper-Logistics'!$N$6:$N$48)</f>
        <v>2680462.0380540956</v>
      </c>
      <c r="O14" s="300">
        <f>'Custom Truck TDC'!S14*'Custom Truck Shipper-Logistics'!$I$5*'Custom Truck Shipper-Logistics'!$I$7*SUMPRODUCT('Custom Truck Shipper-Logistics'!$D$6:$D$48,'Custom Truck Shipper-Logistics'!$N$6:$N$48)</f>
        <v>0</v>
      </c>
      <c r="P14" s="299">
        <f>'Custom Truck TDC'!Z14*'Fixed Factors'!$D$13</f>
        <v>0</v>
      </c>
      <c r="Q14" s="299">
        <f>'Custom Truck TDC'!AA14*'Fixed Factors'!$D$14</f>
        <v>0</v>
      </c>
      <c r="R14" s="299">
        <f>'Custom Truck TDC'!AB14*'Fixed Factors'!$D$15</f>
        <v>55693.523200169577</v>
      </c>
      <c r="S14" s="299">
        <f>'Custom Truck TDC'!AC14*'Fixed Factors'!$D$13</f>
        <v>0</v>
      </c>
      <c r="T14" s="299">
        <f>'Custom Truck TDC'!AD14*'Fixed Factors'!$D$14</f>
        <v>0</v>
      </c>
      <c r="U14" s="299">
        <f>'Custom Truck TDC'!AE14*'Fixed Factors'!$D$15</f>
        <v>0</v>
      </c>
      <c r="V14" s="300">
        <f>'Custom Truck TDC'!AF14*'Fixed Factors'!$G$3</f>
        <v>203148.43501369405</v>
      </c>
      <c r="W14" s="300">
        <f>'Custom Truck TDC'!AG14*'Fixed Factors'!$H$3</f>
        <v>165699.09802435082</v>
      </c>
      <c r="X14" s="300">
        <f>'Custom Truck TDC'!AH14*'Fixed Factors'!$I$3</f>
        <v>14925.636186468286</v>
      </c>
      <c r="Y14" s="300">
        <f>'Custom Truck TDC'!AI14*'Fixed Factors'!$G$3</f>
        <v>0</v>
      </c>
      <c r="Z14" s="300">
        <f>'Custom Truck TDC'!AJ14*'Fixed Factors'!$H$3</f>
        <v>0</v>
      </c>
      <c r="AA14" s="300">
        <f>'Custom Truck TDC'!AK14*'Fixed Factors'!$I$3</f>
        <v>0</v>
      </c>
      <c r="AB14" s="300">
        <f>'Custom Truck TDC'!H14*'Custom Truck TDC'!T14*'Fixed Factors'!$E$29+'Custom Truck TDC'!H14*(1-'Custom Truck TDC'!T14)*'Fixed Factors'!$D$29</f>
        <v>0</v>
      </c>
      <c r="AC14" s="300">
        <f>'Custom Truck TDC'!I14*'Custom Truck TDC'!U14*'Fixed Factors'!$E$30+'Custom Truck TDC'!I14*(1-'Custom Truck TDC'!U14)*'Fixed Factors'!$D$30</f>
        <v>0</v>
      </c>
      <c r="AD14" s="300">
        <f>'Custom Truck TDC'!J14*'Custom Truck TDC'!V14*'Fixed Factors'!$E$31+'Custom Truck TDC'!J14*(1-'Custom Truck TDC'!V14)*'Fixed Factors'!$D$31</f>
        <v>414166.65854908468</v>
      </c>
      <c r="AE14" s="300">
        <f>'Custom Truck TDC'!K14*'Custom Truck TDC'!W14*'Fixed Factors'!$E$29+'Custom Truck TDC'!K14*(1-'Custom Truck TDC'!W14)*'Fixed Factors'!$D$29</f>
        <v>0</v>
      </c>
      <c r="AF14" s="300">
        <f>'Custom Truck TDC'!L14*'Custom Truck TDC'!X14*'Fixed Factors'!$E$30+'Custom Truck TDC'!L14*(1-'Custom Truck TDC'!X14)*'Fixed Factors'!$D$30</f>
        <v>0</v>
      </c>
      <c r="AG14" s="300">
        <f>'Custom Truck TDC'!M14*'Custom Truck TDC'!Y14*'Fixed Factors'!$E$31+'Custom Truck TDC'!M14*(1-'Custom Truck TDC'!Y14)*'Fixed Factors'!$D$31</f>
        <v>0</v>
      </c>
    </row>
    <row r="15" spans="1:36" x14ac:dyDescent="0.25">
      <c r="A15" s="70">
        <f>'Custom Truck TDC'!A15</f>
        <v>2028</v>
      </c>
      <c r="B15" s="298">
        <f>('Custom Truck TDC'!H15*(1-'Custom Truck TDC'!T15)*'Fixed Factors'!$D$3+'Custom Truck TDC'!H15*'Custom Truck TDC'!T15*'Fixed Factors'!$E$3)+(('Custom Truck TDC'!H15*(1-'Custom Truck TDC'!T15)*'Fixed Factors'!$D$8+'Custom Truck TDC'!H15*'Custom Truck TDC'!T15*'Fixed Factors'!$E$8)*'Fixed Factors'!$I$9)</f>
        <v>0</v>
      </c>
      <c r="C15" s="298">
        <f>('Custom Truck TDC'!I15*(1-'Custom Truck TDC'!U15)*'Fixed Factors'!$D$4+'Custom Truck TDC'!I15*'Custom Truck TDC'!U15*'Fixed Factors'!$E$4)+(('Custom Truck TDC'!I15*(1-'Custom Truck TDC'!U15)*'Fixed Factors'!$D$9+'Custom Truck TDC'!I15*'Custom Truck TDC'!U15*'Fixed Factors'!$E$9)*'Fixed Factors'!$I$9)</f>
        <v>0</v>
      </c>
      <c r="D15" s="298">
        <f>('Custom Truck TDC'!J15*(1-'Custom Truck TDC'!V15)*'Fixed Factors'!$D$5+'Custom Truck TDC'!J15*'Custom Truck TDC'!V15*'Fixed Factors'!$E$5)+(('Custom Truck TDC'!J15*(1-'Custom Truck TDC'!V15)*'Fixed Factors'!$D$10+'Custom Truck TDC'!J15*'Custom Truck TDC'!V15*'Fixed Factors'!$E$10)*'Fixed Factors'!$I$8)</f>
        <v>2871646.741351861</v>
      </c>
      <c r="E15" s="298">
        <f>('Custom Truck TDC'!K15*(1-'Custom Truck TDC'!W15)*'Fixed Factors'!$D$3+'Custom Truck TDC'!K15*'Custom Truck TDC'!W15*'Fixed Factors'!$E$3)+(('Custom Truck TDC'!K15*(1-'Custom Truck TDC'!W15)*'Fixed Factors'!$D$8+'Custom Truck TDC'!K15*'Custom Truck TDC'!W15*'Fixed Factors'!$E$8)*'Fixed Factors'!$I$9)</f>
        <v>0</v>
      </c>
      <c r="F15" s="298">
        <f>('Custom Truck TDC'!L15*(1-'Custom Truck TDC'!X15)*'Fixed Factors'!$D$4+'Custom Truck TDC'!L15*'Custom Truck TDC'!X15*'Fixed Factors'!$E$4)+(('Custom Truck TDC'!L15*(1-'Custom Truck TDC'!X15)*'Fixed Factors'!$D$9+'Custom Truck TDC'!L15*'Custom Truck TDC'!X15*'Fixed Factors'!$E$9)*'Fixed Factors'!$I$9)</f>
        <v>0</v>
      </c>
      <c r="G15" s="298">
        <f>('Custom Truck TDC'!M15*(1-'Custom Truck TDC'!Y15)*'Fixed Factors'!$D$5+'Custom Truck TDC'!M15*'Custom Truck TDC'!Y15*'Fixed Factors'!$E$5)+(('Custom Truck TDC'!M15*(1-'Custom Truck TDC'!Y15)*'Fixed Factors'!$D$10+'Custom Truck TDC'!M15*'Custom Truck TDC'!Y15*'Fixed Factors'!$E$10)*'Fixed Factors'!$I$8)</f>
        <v>0</v>
      </c>
      <c r="H15" s="299">
        <f>'Custom Truck TDC'!N15*'Fixed Factors'!$I$13*'Fixed Factors'!$C$13</f>
        <v>0</v>
      </c>
      <c r="I15" s="299">
        <f>'Custom Truck TDC'!O15*'Fixed Factors'!$I$14*'Fixed Factors'!$C$14</f>
        <v>0</v>
      </c>
      <c r="J15" s="299">
        <f>'Custom Truck TDC'!P15*'Fixed Factors'!$I$15*'Fixed Factors'!$C$15</f>
        <v>944350.45644390862</v>
      </c>
      <c r="K15" s="300">
        <f>'Custom Truck TDC'!Q15*'Fixed Factors'!$I$13*'Fixed Factors'!$C$13</f>
        <v>0</v>
      </c>
      <c r="L15" s="300">
        <f>'Custom Truck TDC'!R15*'Fixed Factors'!$I$14*'Fixed Factors'!$C$14</f>
        <v>0</v>
      </c>
      <c r="M15" s="300">
        <f>'Custom Truck TDC'!S15*'Fixed Factors'!$I$15*'Fixed Factors'!$C$15</f>
        <v>0</v>
      </c>
      <c r="N15" s="300">
        <f>'Custom Truck TDC'!P15*'Custom Truck Shipper-Logistics'!$I$5*'Custom Truck Shipper-Logistics'!$I$7*SUMPRODUCT('Custom Truck Shipper-Logistics'!$D$6:$D$48,'Custom Truck Shipper-Logistics'!$N$6:$N$48)</f>
        <v>2731933.4289659383</v>
      </c>
      <c r="O15" s="300">
        <f>'Custom Truck TDC'!S15*'Custom Truck Shipper-Logistics'!$I$5*'Custom Truck Shipper-Logistics'!$I$7*SUMPRODUCT('Custom Truck Shipper-Logistics'!$D$6:$D$48,'Custom Truck Shipper-Logistics'!$N$6:$N$48)</f>
        <v>0</v>
      </c>
      <c r="P15" s="299">
        <f>'Custom Truck TDC'!Z15*'Fixed Factors'!$D$13</f>
        <v>0</v>
      </c>
      <c r="Q15" s="299">
        <f>'Custom Truck TDC'!AA15*'Fixed Factors'!$D$14</f>
        <v>0</v>
      </c>
      <c r="R15" s="299">
        <f>'Custom Truck TDC'!AB15*'Fixed Factors'!$D$15</f>
        <v>56762.974310909703</v>
      </c>
      <c r="S15" s="299">
        <f>'Custom Truck TDC'!AC15*'Fixed Factors'!$D$13</f>
        <v>0</v>
      </c>
      <c r="T15" s="299">
        <f>'Custom Truck TDC'!AD15*'Fixed Factors'!$D$14</f>
        <v>0</v>
      </c>
      <c r="U15" s="299">
        <f>'Custom Truck TDC'!AE15*'Fixed Factors'!$D$15</f>
        <v>0</v>
      </c>
      <c r="V15" s="300">
        <f>'Custom Truck TDC'!AF15*'Fixed Factors'!$G$3</f>
        <v>207049.37909097329</v>
      </c>
      <c r="W15" s="300">
        <f>'Custom Truck TDC'!AG15*'Fixed Factors'!$H$3</f>
        <v>168880.92374210752</v>
      </c>
      <c r="X15" s="300">
        <f>'Custom Truck TDC'!AH15*'Fixed Factors'!$I$3</f>
        <v>15212.244705393392</v>
      </c>
      <c r="Y15" s="300">
        <f>'Custom Truck TDC'!AI15*'Fixed Factors'!$G$3</f>
        <v>0</v>
      </c>
      <c r="Z15" s="300">
        <f>'Custom Truck TDC'!AJ15*'Fixed Factors'!$H$3</f>
        <v>0</v>
      </c>
      <c r="AA15" s="300">
        <f>'Custom Truck TDC'!AK15*'Fixed Factors'!$I$3</f>
        <v>0</v>
      </c>
      <c r="AB15" s="300">
        <f>'Custom Truck TDC'!H15*'Custom Truck TDC'!T15*'Fixed Factors'!$E$29+'Custom Truck TDC'!H15*(1-'Custom Truck TDC'!T15)*'Fixed Factors'!$D$29</f>
        <v>0</v>
      </c>
      <c r="AC15" s="300">
        <f>'Custom Truck TDC'!I15*'Custom Truck TDC'!U15*'Fixed Factors'!$E$30+'Custom Truck TDC'!I15*(1-'Custom Truck TDC'!U15)*'Fixed Factors'!$D$30</f>
        <v>0</v>
      </c>
      <c r="AD15" s="300">
        <f>'Custom Truck TDC'!J15*'Custom Truck TDC'!V15*'Fixed Factors'!$E$31+'Custom Truck TDC'!J15*(1-'Custom Truck TDC'!V15)*'Fixed Factors'!$D$31</f>
        <v>422119.66578522051</v>
      </c>
      <c r="AE15" s="300">
        <f>'Custom Truck TDC'!K15*'Custom Truck TDC'!W15*'Fixed Factors'!$E$29+'Custom Truck TDC'!K15*(1-'Custom Truck TDC'!W15)*'Fixed Factors'!$D$29</f>
        <v>0</v>
      </c>
      <c r="AF15" s="300">
        <f>'Custom Truck TDC'!L15*'Custom Truck TDC'!X15*'Fixed Factors'!$E$30+'Custom Truck TDC'!L15*(1-'Custom Truck TDC'!X15)*'Fixed Factors'!$D$30</f>
        <v>0</v>
      </c>
      <c r="AG15" s="300">
        <f>'Custom Truck TDC'!M15*'Custom Truck TDC'!Y15*'Fixed Factors'!$E$31+'Custom Truck TDC'!M15*(1-'Custom Truck TDC'!Y15)*'Fixed Factors'!$D$31</f>
        <v>0</v>
      </c>
    </row>
    <row r="16" spans="1:36" x14ac:dyDescent="0.25">
      <c r="A16" s="70">
        <f>'Custom Truck TDC'!A16</f>
        <v>2029</v>
      </c>
      <c r="B16" s="298">
        <f>('Custom Truck TDC'!H16*(1-'Custom Truck TDC'!T16)*'Fixed Factors'!$D$3+'Custom Truck TDC'!H16*'Custom Truck TDC'!T16*'Fixed Factors'!$E$3)+(('Custom Truck TDC'!H16*(1-'Custom Truck TDC'!T16)*'Fixed Factors'!$D$8+'Custom Truck TDC'!H16*'Custom Truck TDC'!T16*'Fixed Factors'!$E$8)*'Fixed Factors'!$I$9)</f>
        <v>0</v>
      </c>
      <c r="C16" s="298">
        <f>('Custom Truck TDC'!I16*(1-'Custom Truck TDC'!U16)*'Fixed Factors'!$D$4+'Custom Truck TDC'!I16*'Custom Truck TDC'!U16*'Fixed Factors'!$E$4)+(('Custom Truck TDC'!I16*(1-'Custom Truck TDC'!U16)*'Fixed Factors'!$D$9+'Custom Truck TDC'!I16*'Custom Truck TDC'!U16*'Fixed Factors'!$E$9)*'Fixed Factors'!$I$9)</f>
        <v>0</v>
      </c>
      <c r="D16" s="298">
        <f>('Custom Truck TDC'!J16*(1-'Custom Truck TDC'!V16)*'Fixed Factors'!$D$5+'Custom Truck TDC'!J16*'Custom Truck TDC'!V16*'Fixed Factors'!$E$5)+(('Custom Truck TDC'!J16*(1-'Custom Truck TDC'!V16)*'Fixed Factors'!$D$10+'Custom Truck TDC'!J16*'Custom Truck TDC'!V16*'Fixed Factors'!$E$10)*'Fixed Factors'!$I$8)</f>
        <v>2926789.3435922358</v>
      </c>
      <c r="E16" s="298">
        <f>('Custom Truck TDC'!K16*(1-'Custom Truck TDC'!W16)*'Fixed Factors'!$D$3+'Custom Truck TDC'!K16*'Custom Truck TDC'!W16*'Fixed Factors'!$E$3)+(('Custom Truck TDC'!K16*(1-'Custom Truck TDC'!W16)*'Fixed Factors'!$D$8+'Custom Truck TDC'!K16*'Custom Truck TDC'!W16*'Fixed Factors'!$E$8)*'Fixed Factors'!$I$9)</f>
        <v>0</v>
      </c>
      <c r="F16" s="298">
        <f>('Custom Truck TDC'!L16*(1-'Custom Truck TDC'!X16)*'Fixed Factors'!$D$4+'Custom Truck TDC'!L16*'Custom Truck TDC'!X16*'Fixed Factors'!$E$4)+(('Custom Truck TDC'!L16*(1-'Custom Truck TDC'!X16)*'Fixed Factors'!$D$9+'Custom Truck TDC'!L16*'Custom Truck TDC'!X16*'Fixed Factors'!$E$9)*'Fixed Factors'!$I$9)</f>
        <v>0</v>
      </c>
      <c r="G16" s="298">
        <f>('Custom Truck TDC'!M16*(1-'Custom Truck TDC'!Y16)*'Fixed Factors'!$D$5+'Custom Truck TDC'!M16*'Custom Truck TDC'!Y16*'Fixed Factors'!$E$5)+(('Custom Truck TDC'!M16*(1-'Custom Truck TDC'!Y16)*'Fixed Factors'!$D$10+'Custom Truck TDC'!M16*'Custom Truck TDC'!Y16*'Fixed Factors'!$E$10)*'Fixed Factors'!$I$8)</f>
        <v>0</v>
      </c>
      <c r="H16" s="299">
        <f>'Custom Truck TDC'!N16*'Fixed Factors'!$I$13*'Fixed Factors'!$C$13</f>
        <v>0</v>
      </c>
      <c r="I16" s="299">
        <f>'Custom Truck TDC'!O16*'Fixed Factors'!$I$14*'Fixed Factors'!$C$14</f>
        <v>0</v>
      </c>
      <c r="J16" s="299">
        <f>'Custom Truck TDC'!P16*'Fixed Factors'!$I$15*'Fixed Factors'!$C$15</f>
        <v>962484.28218414856</v>
      </c>
      <c r="K16" s="300">
        <f>'Custom Truck TDC'!Q16*'Fixed Factors'!$I$13*'Fixed Factors'!$C$13</f>
        <v>0</v>
      </c>
      <c r="L16" s="300">
        <f>'Custom Truck TDC'!R16*'Fixed Factors'!$I$14*'Fixed Factors'!$C$14</f>
        <v>0</v>
      </c>
      <c r="M16" s="300">
        <f>'Custom Truck TDC'!S16*'Fixed Factors'!$I$15*'Fixed Factors'!$C$15</f>
        <v>0</v>
      </c>
      <c r="N16" s="300">
        <f>'Custom Truck TDC'!P16*'Custom Truck Shipper-Logistics'!$I$5*'Custom Truck Shipper-Logistics'!$I$7*SUMPRODUCT('Custom Truck Shipper-Logistics'!$D$6:$D$48,'Custom Truck Shipper-Logistics'!$N$6:$N$48)</f>
        <v>2784393.1957789455</v>
      </c>
      <c r="O16" s="300">
        <f>'Custom Truck TDC'!S16*'Custom Truck Shipper-Logistics'!$I$5*'Custom Truck Shipper-Logistics'!$I$7*SUMPRODUCT('Custom Truck Shipper-Logistics'!$D$6:$D$48,'Custom Truck Shipper-Logistics'!$N$6:$N$48)</f>
        <v>0</v>
      </c>
      <c r="P16" s="299">
        <f>'Custom Truck TDC'!Z16*'Fixed Factors'!$D$13</f>
        <v>0</v>
      </c>
      <c r="Q16" s="299">
        <f>'Custom Truck TDC'!AA16*'Fixed Factors'!$D$14</f>
        <v>0</v>
      </c>
      <c r="R16" s="299">
        <f>'Custom Truck TDC'!AB16*'Fixed Factors'!$D$15</f>
        <v>57852.96148423924</v>
      </c>
      <c r="S16" s="299">
        <f>'Custom Truck TDC'!AC16*'Fixed Factors'!$D$13</f>
        <v>0</v>
      </c>
      <c r="T16" s="299">
        <f>'Custom Truck TDC'!AD16*'Fixed Factors'!$D$14</f>
        <v>0</v>
      </c>
      <c r="U16" s="299">
        <f>'Custom Truck TDC'!AE16*'Fixed Factors'!$D$15</f>
        <v>0</v>
      </c>
      <c r="V16" s="300">
        <f>'Custom Truck TDC'!AF16*'Fixed Factors'!$G$3</f>
        <v>211025.23078293848</v>
      </c>
      <c r="W16" s="300">
        <f>'Custom Truck TDC'!AG16*'Fixed Factors'!$H$3</f>
        <v>172123.84825291074</v>
      </c>
      <c r="X16" s="300">
        <f>'Custom Truck TDC'!AH16*'Fixed Factors'!$I$3</f>
        <v>15504.356805009746</v>
      </c>
      <c r="Y16" s="300">
        <f>'Custom Truck TDC'!AI16*'Fixed Factors'!$G$3</f>
        <v>0</v>
      </c>
      <c r="Z16" s="300">
        <f>'Custom Truck TDC'!AJ16*'Fixed Factors'!$H$3</f>
        <v>0</v>
      </c>
      <c r="AA16" s="300">
        <f>'Custom Truck TDC'!AK16*'Fixed Factors'!$I$3</f>
        <v>0</v>
      </c>
      <c r="AB16" s="300">
        <f>'Custom Truck TDC'!H16*'Custom Truck TDC'!T16*'Fixed Factors'!$E$29+'Custom Truck TDC'!H16*(1-'Custom Truck TDC'!T16)*'Fixed Factors'!$D$29</f>
        <v>0</v>
      </c>
      <c r="AC16" s="300">
        <f>'Custom Truck TDC'!I16*'Custom Truck TDC'!U16*'Fixed Factors'!$E$30+'Custom Truck TDC'!I16*(1-'Custom Truck TDC'!U16)*'Fixed Factors'!$D$30</f>
        <v>0</v>
      </c>
      <c r="AD16" s="300">
        <f>'Custom Truck TDC'!J16*'Custom Truck TDC'!V16*'Fixed Factors'!$E$31+'Custom Truck TDC'!J16*(1-'Custom Truck TDC'!V16)*'Fixed Factors'!$D$31</f>
        <v>430225.39010466676</v>
      </c>
      <c r="AE16" s="300">
        <f>'Custom Truck TDC'!K16*'Custom Truck TDC'!W16*'Fixed Factors'!$E$29+'Custom Truck TDC'!K16*(1-'Custom Truck TDC'!W16)*'Fixed Factors'!$D$29</f>
        <v>0</v>
      </c>
      <c r="AF16" s="300">
        <f>'Custom Truck TDC'!L16*'Custom Truck TDC'!X16*'Fixed Factors'!$E$30+'Custom Truck TDC'!L16*(1-'Custom Truck TDC'!X16)*'Fixed Factors'!$D$30</f>
        <v>0</v>
      </c>
      <c r="AG16" s="300">
        <f>'Custom Truck TDC'!M16*'Custom Truck TDC'!Y16*'Fixed Factors'!$E$31+'Custom Truck TDC'!M16*(1-'Custom Truck TDC'!Y16)*'Fixed Factors'!$D$31</f>
        <v>0</v>
      </c>
    </row>
    <row r="17" spans="1:33" x14ac:dyDescent="0.25">
      <c r="A17" s="70">
        <f>'Custom Truck TDC'!A17</f>
        <v>2030</v>
      </c>
      <c r="B17" s="298">
        <f>('Custom Truck TDC'!H17*(1-'Custom Truck TDC'!T17)*'Fixed Factors'!$D$3+'Custom Truck TDC'!H17*'Custom Truck TDC'!T17*'Fixed Factors'!$E$3)+(('Custom Truck TDC'!H17*(1-'Custom Truck TDC'!T17)*'Fixed Factors'!$D$8+'Custom Truck TDC'!H17*'Custom Truck TDC'!T17*'Fixed Factors'!$E$8)*'Fixed Factors'!$I$9)</f>
        <v>0</v>
      </c>
      <c r="C17" s="298">
        <f>('Custom Truck TDC'!I17*(1-'Custom Truck TDC'!U17)*'Fixed Factors'!$D$4+'Custom Truck TDC'!I17*'Custom Truck TDC'!U17*'Fixed Factors'!$E$4)+(('Custom Truck TDC'!I17*(1-'Custom Truck TDC'!U17)*'Fixed Factors'!$D$9+'Custom Truck TDC'!I17*'Custom Truck TDC'!U17*'Fixed Factors'!$E$9)*'Fixed Factors'!$I$9)</f>
        <v>0</v>
      </c>
      <c r="D17" s="298">
        <f>('Custom Truck TDC'!J17*(1-'Custom Truck TDC'!V17)*'Fixed Factors'!$D$5+'Custom Truck TDC'!J17*'Custom Truck TDC'!V17*'Fixed Factors'!$E$5)+(('Custom Truck TDC'!J17*(1-'Custom Truck TDC'!V17)*'Fixed Factors'!$D$10+'Custom Truck TDC'!J17*'Custom Truck TDC'!V17*'Fixed Factors'!$E$10)*'Fixed Factors'!$I$8)</f>
        <v>2982990.8179208981</v>
      </c>
      <c r="E17" s="298">
        <f>('Custom Truck TDC'!K17*(1-'Custom Truck TDC'!W17)*'Fixed Factors'!$D$3+'Custom Truck TDC'!K17*'Custom Truck TDC'!W17*'Fixed Factors'!$E$3)+(('Custom Truck TDC'!K17*(1-'Custom Truck TDC'!W17)*'Fixed Factors'!$D$8+'Custom Truck TDC'!K17*'Custom Truck TDC'!W17*'Fixed Factors'!$E$8)*'Fixed Factors'!$I$9)</f>
        <v>0</v>
      </c>
      <c r="F17" s="298">
        <f>('Custom Truck TDC'!L17*(1-'Custom Truck TDC'!X17)*'Fixed Factors'!$D$4+'Custom Truck TDC'!L17*'Custom Truck TDC'!X17*'Fixed Factors'!$E$4)+(('Custom Truck TDC'!L17*(1-'Custom Truck TDC'!X17)*'Fixed Factors'!$D$9+'Custom Truck TDC'!L17*'Custom Truck TDC'!X17*'Fixed Factors'!$E$9)*'Fixed Factors'!$I$9)</f>
        <v>0</v>
      </c>
      <c r="G17" s="298">
        <f>('Custom Truck TDC'!M17*(1-'Custom Truck TDC'!Y17)*'Fixed Factors'!$D$5+'Custom Truck TDC'!M17*'Custom Truck TDC'!Y17*'Fixed Factors'!$E$5)+(('Custom Truck TDC'!M17*(1-'Custom Truck TDC'!Y17)*'Fixed Factors'!$D$10+'Custom Truck TDC'!M17*'Custom Truck TDC'!Y17*'Fixed Factors'!$E$10)*'Fixed Factors'!$I$8)</f>
        <v>0</v>
      </c>
      <c r="H17" s="299">
        <f>'Custom Truck TDC'!N17*'Fixed Factors'!$I$13*'Fixed Factors'!$C$13</f>
        <v>0</v>
      </c>
      <c r="I17" s="299">
        <f>'Custom Truck TDC'!O17*'Fixed Factors'!$I$14*'Fixed Factors'!$C$14</f>
        <v>0</v>
      </c>
      <c r="J17" s="299">
        <f>'Custom Truck TDC'!P17*'Fixed Factors'!$I$15*'Fixed Factors'!$C$15</f>
        <v>980966.32148613711</v>
      </c>
      <c r="K17" s="300">
        <f>'Custom Truck TDC'!Q17*'Fixed Factors'!$I$13*'Fixed Factors'!$C$13</f>
        <v>0</v>
      </c>
      <c r="L17" s="300">
        <f>'Custom Truck TDC'!R17*'Fixed Factors'!$I$14*'Fixed Factors'!$C$14</f>
        <v>0</v>
      </c>
      <c r="M17" s="300">
        <f>'Custom Truck TDC'!S17*'Fixed Factors'!$I$15*'Fixed Factors'!$C$15</f>
        <v>0</v>
      </c>
      <c r="N17" s="300">
        <f>'Custom Truck TDC'!P17*'Custom Truck Shipper-Logistics'!$I$5*'Custom Truck Shipper-Logistics'!$I$7*SUMPRODUCT('Custom Truck Shipper-Logistics'!$D$6:$D$48,'Custom Truck Shipper-Logistics'!$N$6:$N$48)</f>
        <v>2837860.3177144811</v>
      </c>
      <c r="O17" s="300">
        <f>'Custom Truck TDC'!S17*'Custom Truck Shipper-Logistics'!$I$5*'Custom Truck Shipper-Logistics'!$I$7*SUMPRODUCT('Custom Truck Shipper-Logistics'!$D$6:$D$48,'Custom Truck Shipper-Logistics'!$N$6:$N$48)</f>
        <v>0</v>
      </c>
      <c r="P17" s="299">
        <f>'Custom Truck TDC'!Z17*'Fixed Factors'!$D$13</f>
        <v>0</v>
      </c>
      <c r="Q17" s="299">
        <f>'Custom Truck TDC'!AA17*'Fixed Factors'!$D$14</f>
        <v>0</v>
      </c>
      <c r="R17" s="299">
        <f>'Custom Truck TDC'!AB17*'Fixed Factors'!$D$15</f>
        <v>58963.879062510474</v>
      </c>
      <c r="S17" s="299">
        <f>'Custom Truck TDC'!AC17*'Fixed Factors'!$D$13</f>
        <v>0</v>
      </c>
      <c r="T17" s="299">
        <f>'Custom Truck TDC'!AD17*'Fixed Factors'!$D$14</f>
        <v>0</v>
      </c>
      <c r="U17" s="299">
        <f>'Custom Truck TDC'!AE17*'Fixed Factors'!$D$15</f>
        <v>0</v>
      </c>
      <c r="V17" s="300">
        <f>'Custom Truck TDC'!AF17*'Fixed Factors'!$G$3</f>
        <v>215077.42849799193</v>
      </c>
      <c r="W17" s="300">
        <f>'Custom Truck TDC'!AG17*'Fixed Factors'!$H$3</f>
        <v>175429.04480219958</v>
      </c>
      <c r="X17" s="300">
        <f>'Custom Truck TDC'!AH17*'Fixed Factors'!$I$3</f>
        <v>15802.078167453168</v>
      </c>
      <c r="Y17" s="300">
        <f>'Custom Truck TDC'!AI17*'Fixed Factors'!$G$3</f>
        <v>0</v>
      </c>
      <c r="Z17" s="300">
        <f>'Custom Truck TDC'!AJ17*'Fixed Factors'!$H$3</f>
        <v>0</v>
      </c>
      <c r="AA17" s="300">
        <f>'Custom Truck TDC'!AK17*'Fixed Factors'!$I$3</f>
        <v>0</v>
      </c>
      <c r="AB17" s="300">
        <f>'Custom Truck TDC'!H17*'Custom Truck TDC'!T17*'Fixed Factors'!$E$29+'Custom Truck TDC'!H17*(1-'Custom Truck TDC'!T17)*'Fixed Factors'!$D$29</f>
        <v>0</v>
      </c>
      <c r="AC17" s="300">
        <f>'Custom Truck TDC'!I17*'Custom Truck TDC'!U17*'Fixed Factors'!$E$30+'Custom Truck TDC'!I17*(1-'Custom Truck TDC'!U17)*'Fixed Factors'!$D$30</f>
        <v>0</v>
      </c>
      <c r="AD17" s="300">
        <f>'Custom Truck TDC'!J17*'Custom Truck TDC'!V17*'Fixed Factors'!$E$31+'Custom Truck TDC'!J17*(1-'Custom Truck TDC'!V17)*'Fixed Factors'!$D$31</f>
        <v>438486.76404688199</v>
      </c>
      <c r="AE17" s="300">
        <f>'Custom Truck TDC'!K17*'Custom Truck TDC'!W17*'Fixed Factors'!$E$29+'Custom Truck TDC'!K17*(1-'Custom Truck TDC'!W17)*'Fixed Factors'!$D$29</f>
        <v>0</v>
      </c>
      <c r="AF17" s="300">
        <f>'Custom Truck TDC'!L17*'Custom Truck TDC'!X17*'Fixed Factors'!$E$30+'Custom Truck TDC'!L17*(1-'Custom Truck TDC'!X17)*'Fixed Factors'!$D$30</f>
        <v>0</v>
      </c>
      <c r="AG17" s="300">
        <f>'Custom Truck TDC'!M17*'Custom Truck TDC'!Y17*'Fixed Factors'!$E$31+'Custom Truck TDC'!M17*(1-'Custom Truck TDC'!Y17)*'Fixed Factors'!$D$31</f>
        <v>0</v>
      </c>
    </row>
    <row r="18" spans="1:33" x14ac:dyDescent="0.25">
      <c r="A18" s="70">
        <f>'Custom Truck TDC'!A18</f>
        <v>2031</v>
      </c>
      <c r="B18" s="298">
        <f>('Custom Truck TDC'!H18*(1-'Custom Truck TDC'!T18)*'Fixed Factors'!$D$3+'Custom Truck TDC'!H18*'Custom Truck TDC'!T18*'Fixed Factors'!$E$3)+(('Custom Truck TDC'!H18*(1-'Custom Truck TDC'!T18)*'Fixed Factors'!$D$8+'Custom Truck TDC'!H18*'Custom Truck TDC'!T18*'Fixed Factors'!$E$8)*'Fixed Factors'!$I$9)</f>
        <v>0</v>
      </c>
      <c r="C18" s="298">
        <f>('Custom Truck TDC'!I18*(1-'Custom Truck TDC'!U18)*'Fixed Factors'!$D$4+'Custom Truck TDC'!I18*'Custom Truck TDC'!U18*'Fixed Factors'!$E$4)+(('Custom Truck TDC'!I18*(1-'Custom Truck TDC'!U18)*'Fixed Factors'!$D$9+'Custom Truck TDC'!I18*'Custom Truck TDC'!U18*'Fixed Factors'!$E$9)*'Fixed Factors'!$I$9)</f>
        <v>0</v>
      </c>
      <c r="D18" s="298">
        <f>('Custom Truck TDC'!J18*(1-'Custom Truck TDC'!V18)*'Fixed Factors'!$D$5+'Custom Truck TDC'!J18*'Custom Truck TDC'!V18*'Fixed Factors'!$E$5)+(('Custom Truck TDC'!J18*(1-'Custom Truck TDC'!V18)*'Fixed Factors'!$D$10+'Custom Truck TDC'!J18*'Custom Truck TDC'!V18*'Fixed Factors'!$E$10)*'Fixed Factors'!$I$8)</f>
        <v>3040271.4972574748</v>
      </c>
      <c r="E18" s="298">
        <f>('Custom Truck TDC'!K18*(1-'Custom Truck TDC'!W18)*'Fixed Factors'!$D$3+'Custom Truck TDC'!K18*'Custom Truck TDC'!W18*'Fixed Factors'!$E$3)+(('Custom Truck TDC'!K18*(1-'Custom Truck TDC'!W18)*'Fixed Factors'!$D$8+'Custom Truck TDC'!K18*'Custom Truck TDC'!W18*'Fixed Factors'!$E$8)*'Fixed Factors'!$I$9)</f>
        <v>0</v>
      </c>
      <c r="F18" s="298">
        <f>('Custom Truck TDC'!L18*(1-'Custom Truck TDC'!X18)*'Fixed Factors'!$D$4+'Custom Truck TDC'!L18*'Custom Truck TDC'!X18*'Fixed Factors'!$E$4)+(('Custom Truck TDC'!L18*(1-'Custom Truck TDC'!X18)*'Fixed Factors'!$D$9+'Custom Truck TDC'!L18*'Custom Truck TDC'!X18*'Fixed Factors'!$E$9)*'Fixed Factors'!$I$9)</f>
        <v>0</v>
      </c>
      <c r="G18" s="298">
        <f>('Custom Truck TDC'!M18*(1-'Custom Truck TDC'!Y18)*'Fixed Factors'!$D$5+'Custom Truck TDC'!M18*'Custom Truck TDC'!Y18*'Fixed Factors'!$E$5)+(('Custom Truck TDC'!M18*(1-'Custom Truck TDC'!Y18)*'Fixed Factors'!$D$10+'Custom Truck TDC'!M18*'Custom Truck TDC'!Y18*'Fixed Factors'!$E$10)*'Fixed Factors'!$I$8)</f>
        <v>0</v>
      </c>
      <c r="H18" s="299">
        <f>'Custom Truck TDC'!N18*'Fixed Factors'!$I$13*'Fixed Factors'!$C$13</f>
        <v>0</v>
      </c>
      <c r="I18" s="299">
        <f>'Custom Truck TDC'!O18*'Fixed Factors'!$I$14*'Fixed Factors'!$C$14</f>
        <v>0</v>
      </c>
      <c r="J18" s="299">
        <f>'Custom Truck TDC'!P18*'Fixed Factors'!$I$15*'Fixed Factors'!$C$15</f>
        <v>999803.26089723199</v>
      </c>
      <c r="K18" s="300">
        <f>'Custom Truck TDC'!Q18*'Fixed Factors'!$I$13*'Fixed Factors'!$C$13</f>
        <v>0</v>
      </c>
      <c r="L18" s="300">
        <f>'Custom Truck TDC'!R18*'Fixed Factors'!$I$14*'Fixed Factors'!$C$14</f>
        <v>0</v>
      </c>
      <c r="M18" s="300">
        <f>'Custom Truck TDC'!S18*'Fixed Factors'!$I$15*'Fixed Factors'!$C$15</f>
        <v>0</v>
      </c>
      <c r="N18" s="300">
        <f>'Custom Truck TDC'!P18*'Custom Truck Shipper-Logistics'!$I$5*'Custom Truck Shipper-Logistics'!$I$7*SUMPRODUCT('Custom Truck Shipper-Logistics'!$D$6:$D$48,'Custom Truck Shipper-Logistics'!$N$6:$N$48)</f>
        <v>2892354.1384411217</v>
      </c>
      <c r="O18" s="300">
        <f>'Custom Truck TDC'!S18*'Custom Truck Shipper-Logistics'!$I$5*'Custom Truck Shipper-Logistics'!$I$7*SUMPRODUCT('Custom Truck Shipper-Logistics'!$D$6:$D$48,'Custom Truck Shipper-Logistics'!$N$6:$N$48)</f>
        <v>0</v>
      </c>
      <c r="P18" s="299">
        <f>'Custom Truck TDC'!Z18*'Fixed Factors'!$D$13</f>
        <v>0</v>
      </c>
      <c r="Q18" s="299">
        <f>'Custom Truck TDC'!AA18*'Fixed Factors'!$D$14</f>
        <v>0</v>
      </c>
      <c r="R18" s="299">
        <f>'Custom Truck TDC'!AB18*'Fixed Factors'!$D$15</f>
        <v>60096.128960408045</v>
      </c>
      <c r="S18" s="299">
        <f>'Custom Truck TDC'!AC18*'Fixed Factors'!$D$13</f>
        <v>0</v>
      </c>
      <c r="T18" s="299">
        <f>'Custom Truck TDC'!AD18*'Fixed Factors'!$D$14</f>
        <v>0</v>
      </c>
      <c r="U18" s="299">
        <f>'Custom Truck TDC'!AE18*'Fixed Factors'!$D$15</f>
        <v>0</v>
      </c>
      <c r="V18" s="300">
        <f>'Custom Truck TDC'!AF18*'Fixed Factors'!$G$3</f>
        <v>219207.43826547617</v>
      </c>
      <c r="W18" s="300">
        <f>'Custom Truck TDC'!AG18*'Fixed Factors'!$H$3</f>
        <v>178797.70916457957</v>
      </c>
      <c r="X18" s="300">
        <f>'Custom Truck TDC'!AH18*'Fixed Factors'!$I$3</f>
        <v>16105.51650421355</v>
      </c>
      <c r="Y18" s="300">
        <f>'Custom Truck TDC'!AI18*'Fixed Factors'!$G$3</f>
        <v>0</v>
      </c>
      <c r="Z18" s="300">
        <f>'Custom Truck TDC'!AJ18*'Fixed Factors'!$H$3</f>
        <v>0</v>
      </c>
      <c r="AA18" s="300">
        <f>'Custom Truck TDC'!AK18*'Fixed Factors'!$I$3</f>
        <v>0</v>
      </c>
      <c r="AB18" s="300">
        <f>'Custom Truck TDC'!H18*'Custom Truck TDC'!T18*'Fixed Factors'!$E$29+'Custom Truck TDC'!H18*(1-'Custom Truck TDC'!T18)*'Fixed Factors'!$D$29</f>
        <v>0</v>
      </c>
      <c r="AC18" s="300">
        <f>'Custom Truck TDC'!I18*'Custom Truck TDC'!U18*'Fixed Factors'!$E$30+'Custom Truck TDC'!I18*(1-'Custom Truck TDC'!U18)*'Fixed Factors'!$D$30</f>
        <v>0</v>
      </c>
      <c r="AD18" s="300">
        <f>'Custom Truck TDC'!J18*'Custom Truck TDC'!V18*'Fixed Factors'!$E$31+'Custom Truck TDC'!J18*(1-'Custom Truck TDC'!V18)*'Fixed Factors'!$D$31</f>
        <v>446906.77646321541</v>
      </c>
      <c r="AE18" s="300">
        <f>'Custom Truck TDC'!K18*'Custom Truck TDC'!W18*'Fixed Factors'!$E$29+'Custom Truck TDC'!K18*(1-'Custom Truck TDC'!W18)*'Fixed Factors'!$D$29</f>
        <v>0</v>
      </c>
      <c r="AF18" s="300">
        <f>'Custom Truck TDC'!L18*'Custom Truck TDC'!X18*'Fixed Factors'!$E$30+'Custom Truck TDC'!L18*(1-'Custom Truck TDC'!X18)*'Fixed Factors'!$D$30</f>
        <v>0</v>
      </c>
      <c r="AG18" s="300">
        <f>'Custom Truck TDC'!M18*'Custom Truck TDC'!Y18*'Fixed Factors'!$E$31+'Custom Truck TDC'!M18*(1-'Custom Truck TDC'!Y18)*'Fixed Factors'!$D$31</f>
        <v>0</v>
      </c>
    </row>
    <row r="19" spans="1:33" x14ac:dyDescent="0.25">
      <c r="A19" s="70">
        <f>'Custom Truck TDC'!A19</f>
        <v>2032</v>
      </c>
      <c r="B19" s="298">
        <f>('Custom Truck TDC'!H19*(1-'Custom Truck TDC'!T19)*'Fixed Factors'!$D$3+'Custom Truck TDC'!H19*'Custom Truck TDC'!T19*'Fixed Factors'!$E$3)+(('Custom Truck TDC'!H19*(1-'Custom Truck TDC'!T19)*'Fixed Factors'!$D$8+'Custom Truck TDC'!H19*'Custom Truck TDC'!T19*'Fixed Factors'!$E$8)*'Fixed Factors'!$I$9)</f>
        <v>0</v>
      </c>
      <c r="C19" s="298">
        <f>('Custom Truck TDC'!I19*(1-'Custom Truck TDC'!U19)*'Fixed Factors'!$D$4+'Custom Truck TDC'!I19*'Custom Truck TDC'!U19*'Fixed Factors'!$E$4)+(('Custom Truck TDC'!I19*(1-'Custom Truck TDC'!U19)*'Fixed Factors'!$D$9+'Custom Truck TDC'!I19*'Custom Truck TDC'!U19*'Fixed Factors'!$E$9)*'Fixed Factors'!$I$9)</f>
        <v>0</v>
      </c>
      <c r="D19" s="298">
        <f>('Custom Truck TDC'!J19*(1-'Custom Truck TDC'!V19)*'Fixed Factors'!$D$5+'Custom Truck TDC'!J19*'Custom Truck TDC'!V19*'Fixed Factors'!$E$5)+(('Custom Truck TDC'!J19*(1-'Custom Truck TDC'!V19)*'Fixed Factors'!$D$10+'Custom Truck TDC'!J19*'Custom Truck TDC'!V19*'Fixed Factors'!$E$10)*'Fixed Factors'!$I$8)</f>
        <v>3098652.1049631061</v>
      </c>
      <c r="E19" s="298">
        <f>('Custom Truck TDC'!K19*(1-'Custom Truck TDC'!W19)*'Fixed Factors'!$D$3+'Custom Truck TDC'!K19*'Custom Truck TDC'!W19*'Fixed Factors'!$E$3)+(('Custom Truck TDC'!K19*(1-'Custom Truck TDC'!W19)*'Fixed Factors'!$D$8+'Custom Truck TDC'!K19*'Custom Truck TDC'!W19*'Fixed Factors'!$E$8)*'Fixed Factors'!$I$9)</f>
        <v>0</v>
      </c>
      <c r="F19" s="298">
        <f>('Custom Truck TDC'!L19*(1-'Custom Truck TDC'!X19)*'Fixed Factors'!$D$4+'Custom Truck TDC'!L19*'Custom Truck TDC'!X19*'Fixed Factors'!$E$4)+(('Custom Truck TDC'!L19*(1-'Custom Truck TDC'!X19)*'Fixed Factors'!$D$9+'Custom Truck TDC'!L19*'Custom Truck TDC'!X19*'Fixed Factors'!$E$9)*'Fixed Factors'!$I$9)</f>
        <v>0</v>
      </c>
      <c r="G19" s="298">
        <f>('Custom Truck TDC'!M19*(1-'Custom Truck TDC'!Y19)*'Fixed Factors'!$D$5+'Custom Truck TDC'!M19*'Custom Truck TDC'!Y19*'Fixed Factors'!$E$5)+(('Custom Truck TDC'!M19*(1-'Custom Truck TDC'!Y19)*'Fixed Factors'!$D$10+'Custom Truck TDC'!M19*'Custom Truck TDC'!Y19*'Fixed Factors'!$E$10)*'Fixed Factors'!$I$8)</f>
        <v>0</v>
      </c>
      <c r="H19" s="299">
        <f>'Custom Truck TDC'!N19*'Fixed Factors'!$I$13*'Fixed Factors'!$C$13</f>
        <v>0</v>
      </c>
      <c r="I19" s="299">
        <f>'Custom Truck TDC'!O19*'Fixed Factors'!$I$14*'Fixed Factors'!$C$14</f>
        <v>0</v>
      </c>
      <c r="J19" s="299">
        <f>'Custom Truck TDC'!P19*'Fixed Factors'!$I$15*'Fixed Factors'!$C$15</f>
        <v>1019001.915362764</v>
      </c>
      <c r="K19" s="300">
        <f>'Custom Truck TDC'!Q19*'Fixed Factors'!$I$13*'Fixed Factors'!$C$13</f>
        <v>0</v>
      </c>
      <c r="L19" s="300">
        <f>'Custom Truck TDC'!R19*'Fixed Factors'!$I$14*'Fixed Factors'!$C$14</f>
        <v>0</v>
      </c>
      <c r="M19" s="300">
        <f>'Custom Truck TDC'!S19*'Fixed Factors'!$I$15*'Fixed Factors'!$C$15</f>
        <v>0</v>
      </c>
      <c r="N19" s="300">
        <f>'Custom Truck TDC'!P19*'Custom Truck Shipper-Logistics'!$I$5*'Custom Truck Shipper-Logistics'!$I$7*SUMPRODUCT('Custom Truck Shipper-Logistics'!$D$6:$D$48,'Custom Truck Shipper-Logistics'!$N$6:$N$48)</f>
        <v>2947894.3730729334</v>
      </c>
      <c r="O19" s="300">
        <f>'Custom Truck TDC'!S19*'Custom Truck Shipper-Logistics'!$I$5*'Custom Truck Shipper-Logistics'!$I$7*SUMPRODUCT('Custom Truck Shipper-Logistics'!$D$6:$D$48,'Custom Truck Shipper-Logistics'!$N$6:$N$48)</f>
        <v>0</v>
      </c>
      <c r="P19" s="299">
        <f>'Custom Truck TDC'!Z19*'Fixed Factors'!$D$13</f>
        <v>0</v>
      </c>
      <c r="Q19" s="299">
        <f>'Custom Truck TDC'!AA19*'Fixed Factors'!$D$14</f>
        <v>0</v>
      </c>
      <c r="R19" s="299">
        <f>'Custom Truck TDC'!AB19*'Fixed Factors'!$D$15</f>
        <v>61250.120810356137</v>
      </c>
      <c r="S19" s="299">
        <f>'Custom Truck TDC'!AC19*'Fixed Factors'!$D$13</f>
        <v>0</v>
      </c>
      <c r="T19" s="299">
        <f>'Custom Truck TDC'!AD19*'Fixed Factors'!$D$14</f>
        <v>0</v>
      </c>
      <c r="U19" s="299">
        <f>'Custom Truck TDC'!AE19*'Fixed Factors'!$D$15</f>
        <v>0</v>
      </c>
      <c r="V19" s="300">
        <f>'Custom Truck TDC'!AF19*'Fixed Factors'!$G$3</f>
        <v>223416.75426606269</v>
      </c>
      <c r="W19" s="300">
        <f>'Custom Truck TDC'!AG19*'Fixed Factors'!$H$3</f>
        <v>182231.0600764369</v>
      </c>
      <c r="X19" s="300">
        <f>'Custom Truck TDC'!AH19*'Fixed Factors'!$I$3</f>
        <v>16414.78159510337</v>
      </c>
      <c r="Y19" s="300">
        <f>'Custom Truck TDC'!AI19*'Fixed Factors'!$G$3</f>
        <v>0</v>
      </c>
      <c r="Z19" s="300">
        <f>'Custom Truck TDC'!AJ19*'Fixed Factors'!$H$3</f>
        <v>0</v>
      </c>
      <c r="AA19" s="300">
        <f>'Custom Truck TDC'!AK19*'Fixed Factors'!$I$3</f>
        <v>0</v>
      </c>
      <c r="AB19" s="300">
        <f>'Custom Truck TDC'!H19*'Custom Truck TDC'!T19*'Fixed Factors'!$E$29+'Custom Truck TDC'!H19*(1-'Custom Truck TDC'!T19)*'Fixed Factors'!$D$29</f>
        <v>0</v>
      </c>
      <c r="AC19" s="300">
        <f>'Custom Truck TDC'!I19*'Custom Truck TDC'!U19*'Fixed Factors'!$E$30+'Custom Truck TDC'!I19*(1-'Custom Truck TDC'!U19)*'Fixed Factors'!$D$30</f>
        <v>0</v>
      </c>
      <c r="AD19" s="300">
        <f>'Custom Truck TDC'!J19*'Custom Truck TDC'!V19*'Fixed Factors'!$E$31+'Custom Truck TDC'!J19*(1-'Custom Truck TDC'!V19)*'Fixed Factors'!$D$31</f>
        <v>455488.47359823209</v>
      </c>
      <c r="AE19" s="300">
        <f>'Custom Truck TDC'!K19*'Custom Truck TDC'!W19*'Fixed Factors'!$E$29+'Custom Truck TDC'!K19*(1-'Custom Truck TDC'!W19)*'Fixed Factors'!$D$29</f>
        <v>0</v>
      </c>
      <c r="AF19" s="300">
        <f>'Custom Truck TDC'!L19*'Custom Truck TDC'!X19*'Fixed Factors'!$E$30+'Custom Truck TDC'!L19*(1-'Custom Truck TDC'!X19)*'Fixed Factors'!$D$30</f>
        <v>0</v>
      </c>
      <c r="AG19" s="300">
        <f>'Custom Truck TDC'!M19*'Custom Truck TDC'!Y19*'Fixed Factors'!$E$31+'Custom Truck TDC'!M19*(1-'Custom Truck TDC'!Y19)*'Fixed Factors'!$D$31</f>
        <v>0</v>
      </c>
    </row>
    <row r="20" spans="1:33" x14ac:dyDescent="0.25">
      <c r="A20" s="70">
        <f>'Custom Truck TDC'!A20</f>
        <v>2033</v>
      </c>
      <c r="B20" s="298">
        <f>('Custom Truck TDC'!H20*(1-'Custom Truck TDC'!T20)*'Fixed Factors'!$D$3+'Custom Truck TDC'!H20*'Custom Truck TDC'!T20*'Fixed Factors'!$E$3)+(('Custom Truck TDC'!H20*(1-'Custom Truck TDC'!T20)*'Fixed Factors'!$D$8+'Custom Truck TDC'!H20*'Custom Truck TDC'!T20*'Fixed Factors'!$E$8)*'Fixed Factors'!$I$9)</f>
        <v>0</v>
      </c>
      <c r="C20" s="298">
        <f>('Custom Truck TDC'!I20*(1-'Custom Truck TDC'!U20)*'Fixed Factors'!$D$4+'Custom Truck TDC'!I20*'Custom Truck TDC'!U20*'Fixed Factors'!$E$4)+(('Custom Truck TDC'!I20*(1-'Custom Truck TDC'!U20)*'Fixed Factors'!$D$9+'Custom Truck TDC'!I20*'Custom Truck TDC'!U20*'Fixed Factors'!$E$9)*'Fixed Factors'!$I$9)</f>
        <v>0</v>
      </c>
      <c r="D20" s="298">
        <f>('Custom Truck TDC'!J20*(1-'Custom Truck TDC'!V20)*'Fixed Factors'!$D$5+'Custom Truck TDC'!J20*'Custom Truck TDC'!V20*'Fixed Factors'!$E$5)+(('Custom Truck TDC'!J20*(1-'Custom Truck TDC'!V20)*'Fixed Factors'!$D$10+'Custom Truck TDC'!J20*'Custom Truck TDC'!V20*'Fixed Factors'!$E$10)*'Fixed Factors'!$I$8)</f>
        <v>3158153.7623378709</v>
      </c>
      <c r="E20" s="298">
        <f>('Custom Truck TDC'!K20*(1-'Custom Truck TDC'!W20)*'Fixed Factors'!$D$3+'Custom Truck TDC'!K20*'Custom Truck TDC'!W20*'Fixed Factors'!$E$3)+(('Custom Truck TDC'!K20*(1-'Custom Truck TDC'!W20)*'Fixed Factors'!$D$8+'Custom Truck TDC'!K20*'Custom Truck TDC'!W20*'Fixed Factors'!$E$8)*'Fixed Factors'!$I$9)</f>
        <v>0</v>
      </c>
      <c r="F20" s="298">
        <f>('Custom Truck TDC'!L20*(1-'Custom Truck TDC'!X20)*'Fixed Factors'!$D$4+'Custom Truck TDC'!L20*'Custom Truck TDC'!X20*'Fixed Factors'!$E$4)+(('Custom Truck TDC'!L20*(1-'Custom Truck TDC'!X20)*'Fixed Factors'!$D$9+'Custom Truck TDC'!L20*'Custom Truck TDC'!X20*'Fixed Factors'!$E$9)*'Fixed Factors'!$I$9)</f>
        <v>0</v>
      </c>
      <c r="G20" s="298">
        <f>('Custom Truck TDC'!M20*(1-'Custom Truck TDC'!Y20)*'Fixed Factors'!$D$5+'Custom Truck TDC'!M20*'Custom Truck TDC'!Y20*'Fixed Factors'!$E$5)+(('Custom Truck TDC'!M20*(1-'Custom Truck TDC'!Y20)*'Fixed Factors'!$D$10+'Custom Truck TDC'!M20*'Custom Truck TDC'!Y20*'Fixed Factors'!$E$10)*'Fixed Factors'!$I$8)</f>
        <v>0</v>
      </c>
      <c r="H20" s="299">
        <f>'Custom Truck TDC'!N20*'Fixed Factors'!$I$13*'Fixed Factors'!$C$13</f>
        <v>0</v>
      </c>
      <c r="I20" s="299">
        <f>'Custom Truck TDC'!O20*'Fixed Factors'!$I$14*'Fixed Factors'!$C$14</f>
        <v>0</v>
      </c>
      <c r="J20" s="299">
        <f>'Custom Truck TDC'!P20*'Fixed Factors'!$I$15*'Fixed Factors'!$C$15</f>
        <v>1038569.2306915906</v>
      </c>
      <c r="K20" s="300">
        <f>'Custom Truck TDC'!Q20*'Fixed Factors'!$I$13*'Fixed Factors'!$C$13</f>
        <v>0</v>
      </c>
      <c r="L20" s="300">
        <f>'Custom Truck TDC'!R20*'Fixed Factors'!$I$14*'Fixed Factors'!$C$14</f>
        <v>0</v>
      </c>
      <c r="M20" s="300">
        <f>'Custom Truck TDC'!S20*'Fixed Factors'!$I$15*'Fixed Factors'!$C$15</f>
        <v>0</v>
      </c>
      <c r="N20" s="300">
        <f>'Custom Truck TDC'!P20*'Custom Truck Shipper-Logistics'!$I$5*'Custom Truck Shipper-Logistics'!$I$7*SUMPRODUCT('Custom Truck Shipper-Logistics'!$D$6:$D$48,'Custom Truck Shipper-Logistics'!$N$6:$N$48)</f>
        <v>3004501.1153021245</v>
      </c>
      <c r="O20" s="300">
        <f>'Custom Truck TDC'!S20*'Custom Truck Shipper-Logistics'!$I$5*'Custom Truck Shipper-Logistics'!$I$7*SUMPRODUCT('Custom Truck Shipper-Logistics'!$D$6:$D$48,'Custom Truck Shipper-Logistics'!$N$6:$N$48)</f>
        <v>0</v>
      </c>
      <c r="P20" s="299">
        <f>'Custom Truck TDC'!Z20*'Fixed Factors'!$D$13</f>
        <v>0</v>
      </c>
      <c r="Q20" s="299">
        <f>'Custom Truck TDC'!AA20*'Fixed Factors'!$D$14</f>
        <v>0</v>
      </c>
      <c r="R20" s="299">
        <f>'Custom Truck TDC'!AB20*'Fixed Factors'!$D$15</f>
        <v>62426.272110717815</v>
      </c>
      <c r="S20" s="299">
        <f>'Custom Truck TDC'!AC20*'Fixed Factors'!$D$13</f>
        <v>0</v>
      </c>
      <c r="T20" s="299">
        <f>'Custom Truck TDC'!AD20*'Fixed Factors'!$D$14</f>
        <v>0</v>
      </c>
      <c r="U20" s="299">
        <f>'Custom Truck TDC'!AE20*'Fixed Factors'!$D$15</f>
        <v>0</v>
      </c>
      <c r="V20" s="300">
        <f>'Custom Truck TDC'!AF20*'Fixed Factors'!$G$3</f>
        <v>227706.8993723265</v>
      </c>
      <c r="W20" s="300">
        <f>'Custom Truck TDC'!AG20*'Fixed Factors'!$H$3</f>
        <v>185730.33967686095</v>
      </c>
      <c r="X20" s="300">
        <f>'Custom Truck TDC'!AH20*'Fixed Factors'!$I$3</f>
        <v>16729.985327974529</v>
      </c>
      <c r="Y20" s="300">
        <f>'Custom Truck TDC'!AI20*'Fixed Factors'!$G$3</f>
        <v>0</v>
      </c>
      <c r="Z20" s="300">
        <f>'Custom Truck TDC'!AJ20*'Fixed Factors'!$H$3</f>
        <v>0</v>
      </c>
      <c r="AA20" s="300">
        <f>'Custom Truck TDC'!AK20*'Fixed Factors'!$I$3</f>
        <v>0</v>
      </c>
      <c r="AB20" s="300">
        <f>'Custom Truck TDC'!H20*'Custom Truck TDC'!T20*'Fixed Factors'!$E$29+'Custom Truck TDC'!H20*(1-'Custom Truck TDC'!T20)*'Fixed Factors'!$D$29</f>
        <v>0</v>
      </c>
      <c r="AC20" s="300">
        <f>'Custom Truck TDC'!I20*'Custom Truck TDC'!U20*'Fixed Factors'!$E$30+'Custom Truck TDC'!I20*(1-'Custom Truck TDC'!U20)*'Fixed Factors'!$D$30</f>
        <v>0</v>
      </c>
      <c r="AD20" s="300">
        <f>'Custom Truck TDC'!J20*'Custom Truck TDC'!V20*'Fixed Factors'!$E$31+'Custom Truck TDC'!J20*(1-'Custom Truck TDC'!V20)*'Fixed Factors'!$D$31</f>
        <v>464234.96019180195</v>
      </c>
      <c r="AE20" s="300">
        <f>'Custom Truck TDC'!K20*'Custom Truck TDC'!W20*'Fixed Factors'!$E$29+'Custom Truck TDC'!K20*(1-'Custom Truck TDC'!W20)*'Fixed Factors'!$D$29</f>
        <v>0</v>
      </c>
      <c r="AF20" s="300">
        <f>'Custom Truck TDC'!L20*'Custom Truck TDC'!X20*'Fixed Factors'!$E$30+'Custom Truck TDC'!L20*(1-'Custom Truck TDC'!X20)*'Fixed Factors'!$D$30</f>
        <v>0</v>
      </c>
      <c r="AG20" s="300">
        <f>'Custom Truck TDC'!M20*'Custom Truck TDC'!Y20*'Fixed Factors'!$E$31+'Custom Truck TDC'!M20*(1-'Custom Truck TDC'!Y20)*'Fixed Factors'!$D$31</f>
        <v>0</v>
      </c>
    </row>
    <row r="21" spans="1:33" x14ac:dyDescent="0.25">
      <c r="A21" s="70">
        <f>'Custom Truck TDC'!A21</f>
        <v>2034</v>
      </c>
      <c r="B21" s="298">
        <f>('Custom Truck TDC'!H21*(1-'Custom Truck TDC'!T21)*'Fixed Factors'!$D$3+'Custom Truck TDC'!H21*'Custom Truck TDC'!T21*'Fixed Factors'!$E$3)+(('Custom Truck TDC'!H21*(1-'Custom Truck TDC'!T21)*'Fixed Factors'!$D$8+'Custom Truck TDC'!H21*'Custom Truck TDC'!T21*'Fixed Factors'!$E$8)*'Fixed Factors'!$I$9)</f>
        <v>0</v>
      </c>
      <c r="C21" s="298">
        <f>('Custom Truck TDC'!I21*(1-'Custom Truck TDC'!U21)*'Fixed Factors'!$D$4+'Custom Truck TDC'!I21*'Custom Truck TDC'!U21*'Fixed Factors'!$E$4)+(('Custom Truck TDC'!I21*(1-'Custom Truck TDC'!U21)*'Fixed Factors'!$D$9+'Custom Truck TDC'!I21*'Custom Truck TDC'!U21*'Fixed Factors'!$E$9)*'Fixed Factors'!$I$9)</f>
        <v>0</v>
      </c>
      <c r="D21" s="298">
        <f>('Custom Truck TDC'!J21*(1-'Custom Truck TDC'!V21)*'Fixed Factors'!$D$5+'Custom Truck TDC'!J21*'Custom Truck TDC'!V21*'Fixed Factors'!$E$5)+(('Custom Truck TDC'!J21*(1-'Custom Truck TDC'!V21)*'Fixed Factors'!$D$10+'Custom Truck TDC'!J21*'Custom Truck TDC'!V21*'Fixed Factors'!$E$10)*'Fixed Factors'!$I$8)</f>
        <v>3218797.9962621862</v>
      </c>
      <c r="E21" s="298">
        <f>('Custom Truck TDC'!K21*(1-'Custom Truck TDC'!W21)*'Fixed Factors'!$D$3+'Custom Truck TDC'!K21*'Custom Truck TDC'!W21*'Fixed Factors'!$E$3)+(('Custom Truck TDC'!K21*(1-'Custom Truck TDC'!W21)*'Fixed Factors'!$D$8+'Custom Truck TDC'!K21*'Custom Truck TDC'!W21*'Fixed Factors'!$E$8)*'Fixed Factors'!$I$9)</f>
        <v>0</v>
      </c>
      <c r="F21" s="298">
        <f>('Custom Truck TDC'!L21*(1-'Custom Truck TDC'!X21)*'Fixed Factors'!$D$4+'Custom Truck TDC'!L21*'Custom Truck TDC'!X21*'Fixed Factors'!$E$4)+(('Custom Truck TDC'!L21*(1-'Custom Truck TDC'!X21)*'Fixed Factors'!$D$9+'Custom Truck TDC'!L21*'Custom Truck TDC'!X21*'Fixed Factors'!$E$9)*'Fixed Factors'!$I$9)</f>
        <v>0</v>
      </c>
      <c r="G21" s="298">
        <f>('Custom Truck TDC'!M21*(1-'Custom Truck TDC'!Y21)*'Fixed Factors'!$D$5+'Custom Truck TDC'!M21*'Custom Truck TDC'!Y21*'Fixed Factors'!$E$5)+(('Custom Truck TDC'!M21*(1-'Custom Truck TDC'!Y21)*'Fixed Factors'!$D$10+'Custom Truck TDC'!M21*'Custom Truck TDC'!Y21*'Fixed Factors'!$E$10)*'Fixed Factors'!$I$8)</f>
        <v>0</v>
      </c>
      <c r="H21" s="299">
        <f>'Custom Truck TDC'!N21*'Fixed Factors'!$I$13*'Fixed Factors'!$C$13</f>
        <v>0</v>
      </c>
      <c r="I21" s="299">
        <f>'Custom Truck TDC'!O21*'Fixed Factors'!$I$14*'Fixed Factors'!$C$14</f>
        <v>0</v>
      </c>
      <c r="J21" s="299">
        <f>'Custom Truck TDC'!P21*'Fixed Factors'!$I$15*'Fixed Factors'!$C$15</f>
        <v>1058512.2860689934</v>
      </c>
      <c r="K21" s="300">
        <f>'Custom Truck TDC'!Q21*'Fixed Factors'!$I$13*'Fixed Factors'!$C$13</f>
        <v>0</v>
      </c>
      <c r="L21" s="300">
        <f>'Custom Truck TDC'!R21*'Fixed Factors'!$I$14*'Fixed Factors'!$C$14</f>
        <v>0</v>
      </c>
      <c r="M21" s="300">
        <f>'Custom Truck TDC'!S21*'Fixed Factors'!$I$15*'Fixed Factors'!$C$15</f>
        <v>0</v>
      </c>
      <c r="N21" s="300">
        <f>'Custom Truck TDC'!P21*'Custom Truck Shipper-Logistics'!$I$5*'Custom Truck Shipper-Logistics'!$I$7*SUMPRODUCT('Custom Truck Shipper-Logistics'!$D$6:$D$48,'Custom Truck Shipper-Logistics'!$N$6:$N$48)</f>
        <v>3062194.8446686664</v>
      </c>
      <c r="O21" s="300">
        <f>'Custom Truck TDC'!S21*'Custom Truck Shipper-Logistics'!$I$5*'Custom Truck Shipper-Logistics'!$I$7*SUMPRODUCT('Custom Truck Shipper-Logistics'!$D$6:$D$48,'Custom Truck Shipper-Logistics'!$N$6:$N$48)</f>
        <v>0</v>
      </c>
      <c r="P21" s="299">
        <f>'Custom Truck TDC'!Z21*'Fixed Factors'!$D$13</f>
        <v>0</v>
      </c>
      <c r="Q21" s="299">
        <f>'Custom Truck TDC'!AA21*'Fixed Factors'!$D$14</f>
        <v>0</v>
      </c>
      <c r="R21" s="299">
        <f>'Custom Truck TDC'!AB21*'Fixed Factors'!$D$15</f>
        <v>63625.008376840226</v>
      </c>
      <c r="S21" s="299">
        <f>'Custom Truck TDC'!AC21*'Fixed Factors'!$D$13</f>
        <v>0</v>
      </c>
      <c r="T21" s="299">
        <f>'Custom Truck TDC'!AD21*'Fixed Factors'!$D$14</f>
        <v>0</v>
      </c>
      <c r="U21" s="299">
        <f>'Custom Truck TDC'!AE21*'Fixed Factors'!$D$15</f>
        <v>0</v>
      </c>
      <c r="V21" s="300">
        <f>'Custom Truck TDC'!AF21*'Fixed Factors'!$G$3</f>
        <v>232079.42569969993</v>
      </c>
      <c r="W21" s="300">
        <f>'Custom Truck TDC'!AG21*'Fixed Factors'!$H$3</f>
        <v>189296.81395703283</v>
      </c>
      <c r="X21" s="300">
        <f>'Custom Truck TDC'!AH21*'Fixed Factors'!$I$3</f>
        <v>17051.241739197834</v>
      </c>
      <c r="Y21" s="300">
        <f>'Custom Truck TDC'!AI21*'Fixed Factors'!$G$3</f>
        <v>0</v>
      </c>
      <c r="Z21" s="300">
        <f>'Custom Truck TDC'!AJ21*'Fixed Factors'!$H$3</f>
        <v>0</v>
      </c>
      <c r="AA21" s="300">
        <f>'Custom Truck TDC'!AK21*'Fixed Factors'!$I$3</f>
        <v>0</v>
      </c>
      <c r="AB21" s="300">
        <f>'Custom Truck TDC'!H21*'Custom Truck TDC'!T21*'Fixed Factors'!$E$29+'Custom Truck TDC'!H21*(1-'Custom Truck TDC'!T21)*'Fixed Factors'!$D$29</f>
        <v>0</v>
      </c>
      <c r="AC21" s="300">
        <f>'Custom Truck TDC'!I21*'Custom Truck TDC'!U21*'Fixed Factors'!$E$30+'Custom Truck TDC'!I21*(1-'Custom Truck TDC'!U21)*'Fixed Factors'!$D$30</f>
        <v>0</v>
      </c>
      <c r="AD21" s="300">
        <f>'Custom Truck TDC'!J21*'Custom Truck TDC'!V21*'Fixed Factors'!$E$31+'Custom Truck TDC'!J21*(1-'Custom Truck TDC'!V21)*'Fixed Factors'!$D$31</f>
        <v>473149.4006023524</v>
      </c>
      <c r="AE21" s="300">
        <f>'Custom Truck TDC'!K21*'Custom Truck TDC'!W21*'Fixed Factors'!$E$29+'Custom Truck TDC'!K21*(1-'Custom Truck TDC'!W21)*'Fixed Factors'!$D$29</f>
        <v>0</v>
      </c>
      <c r="AF21" s="300">
        <f>'Custom Truck TDC'!L21*'Custom Truck TDC'!X21*'Fixed Factors'!$E$30+'Custom Truck TDC'!L21*(1-'Custom Truck TDC'!X21)*'Fixed Factors'!$D$30</f>
        <v>0</v>
      </c>
      <c r="AG21" s="300">
        <f>'Custom Truck TDC'!M21*'Custom Truck TDC'!Y21*'Fixed Factors'!$E$31+'Custom Truck TDC'!M21*(1-'Custom Truck TDC'!Y21)*'Fixed Factors'!$D$31</f>
        <v>0</v>
      </c>
    </row>
    <row r="22" spans="1:33" x14ac:dyDescent="0.25">
      <c r="A22" s="70">
        <f>'Custom Truck TDC'!A22</f>
        <v>2035</v>
      </c>
      <c r="B22" s="298">
        <f>('Custom Truck TDC'!H22*(1-'Custom Truck TDC'!T22)*'Fixed Factors'!$D$3+'Custom Truck TDC'!H22*'Custom Truck TDC'!T22*'Fixed Factors'!$E$3)+(('Custom Truck TDC'!H22*(1-'Custom Truck TDC'!T22)*'Fixed Factors'!$D$8+'Custom Truck TDC'!H22*'Custom Truck TDC'!T22*'Fixed Factors'!$E$8)*'Fixed Factors'!$I$9)</f>
        <v>0</v>
      </c>
      <c r="C22" s="298">
        <f>('Custom Truck TDC'!I22*(1-'Custom Truck TDC'!U22)*'Fixed Factors'!$D$4+'Custom Truck TDC'!I22*'Custom Truck TDC'!U22*'Fixed Factors'!$E$4)+(('Custom Truck TDC'!I22*(1-'Custom Truck TDC'!U22)*'Fixed Factors'!$D$9+'Custom Truck TDC'!I22*'Custom Truck TDC'!U22*'Fixed Factors'!$E$9)*'Fixed Factors'!$I$9)</f>
        <v>0</v>
      </c>
      <c r="D22" s="298">
        <f>('Custom Truck TDC'!J22*(1-'Custom Truck TDC'!V22)*'Fixed Factors'!$D$5+'Custom Truck TDC'!J22*'Custom Truck TDC'!V22*'Fixed Factors'!$E$5)+(('Custom Truck TDC'!J22*(1-'Custom Truck TDC'!V22)*'Fixed Factors'!$D$10+'Custom Truck TDC'!J22*'Custom Truck TDC'!V22*'Fixed Factors'!$E$10)*'Fixed Factors'!$I$8)</f>
        <v>3280606.7469849312</v>
      </c>
      <c r="E22" s="298">
        <f>('Custom Truck TDC'!K22*(1-'Custom Truck TDC'!W22)*'Fixed Factors'!$D$3+'Custom Truck TDC'!K22*'Custom Truck TDC'!W22*'Fixed Factors'!$E$3)+(('Custom Truck TDC'!K22*(1-'Custom Truck TDC'!W22)*'Fixed Factors'!$D$8+'Custom Truck TDC'!K22*'Custom Truck TDC'!W22*'Fixed Factors'!$E$8)*'Fixed Factors'!$I$9)</f>
        <v>0</v>
      </c>
      <c r="F22" s="298">
        <f>('Custom Truck TDC'!L22*(1-'Custom Truck TDC'!X22)*'Fixed Factors'!$D$4+'Custom Truck TDC'!L22*'Custom Truck TDC'!X22*'Fixed Factors'!$E$4)+(('Custom Truck TDC'!L22*(1-'Custom Truck TDC'!X22)*'Fixed Factors'!$D$9+'Custom Truck TDC'!L22*'Custom Truck TDC'!X22*'Fixed Factors'!$E$9)*'Fixed Factors'!$I$9)</f>
        <v>0</v>
      </c>
      <c r="G22" s="298">
        <f>('Custom Truck TDC'!M22*(1-'Custom Truck TDC'!Y22)*'Fixed Factors'!$D$5+'Custom Truck TDC'!M22*'Custom Truck TDC'!Y22*'Fixed Factors'!$E$5)+(('Custom Truck TDC'!M22*(1-'Custom Truck TDC'!Y22)*'Fixed Factors'!$D$10+'Custom Truck TDC'!M22*'Custom Truck TDC'!Y22*'Fixed Factors'!$E$10)*'Fixed Factors'!$I$8)</f>
        <v>0</v>
      </c>
      <c r="H22" s="299">
        <f>'Custom Truck TDC'!N22*'Fixed Factors'!$I$13*'Fixed Factors'!$C$13</f>
        <v>0</v>
      </c>
      <c r="I22" s="299">
        <f>'Custom Truck TDC'!O22*'Fixed Factors'!$I$14*'Fixed Factors'!$C$14</f>
        <v>0</v>
      </c>
      <c r="J22" s="299">
        <f>'Custom Truck TDC'!P22*'Fixed Factors'!$I$15*'Fixed Factors'!$C$15</f>
        <v>1078838.2966178304</v>
      </c>
      <c r="K22" s="300">
        <f>'Custom Truck TDC'!Q22*'Fixed Factors'!$I$13*'Fixed Factors'!$C$13</f>
        <v>0</v>
      </c>
      <c r="L22" s="300">
        <f>'Custom Truck TDC'!R22*'Fixed Factors'!$I$14*'Fixed Factors'!$C$14</f>
        <v>0</v>
      </c>
      <c r="M22" s="300">
        <f>'Custom Truck TDC'!S22*'Fixed Factors'!$I$15*'Fixed Factors'!$C$15</f>
        <v>0</v>
      </c>
      <c r="N22" s="300">
        <f>'Custom Truck TDC'!P22*'Custom Truck Shipper-Logistics'!$I$5*'Custom Truck Shipper-Logistics'!$I$7*SUMPRODUCT('Custom Truck Shipper-Logistics'!$D$6:$D$48,'Custom Truck Shipper-Logistics'!$N$6:$N$48)</f>
        <v>3120996.433969514</v>
      </c>
      <c r="O22" s="300">
        <f>'Custom Truck TDC'!S22*'Custom Truck Shipper-Logistics'!$I$5*'Custom Truck Shipper-Logistics'!$I$7*SUMPRODUCT('Custom Truck Shipper-Logistics'!$D$6:$D$48,'Custom Truck Shipper-Logistics'!$N$6:$N$48)</f>
        <v>0</v>
      </c>
      <c r="P22" s="299">
        <f>'Custom Truck TDC'!Z22*'Fixed Factors'!$D$13</f>
        <v>0</v>
      </c>
      <c r="Q22" s="299">
        <f>'Custom Truck TDC'!AA22*'Fixed Factors'!$D$14</f>
        <v>0</v>
      </c>
      <c r="R22" s="299">
        <f>'Custom Truck TDC'!AB22*'Fixed Factors'!$D$15</f>
        <v>64846.76329500015</v>
      </c>
      <c r="S22" s="299">
        <f>'Custom Truck TDC'!AC22*'Fixed Factors'!$D$13</f>
        <v>0</v>
      </c>
      <c r="T22" s="299">
        <f>'Custom Truck TDC'!AD22*'Fixed Factors'!$D$14</f>
        <v>0</v>
      </c>
      <c r="U22" s="299">
        <f>'Custom Truck TDC'!AE22*'Fixed Factors'!$D$15</f>
        <v>0</v>
      </c>
      <c r="V22" s="300">
        <f>'Custom Truck TDC'!AF22*'Fixed Factors'!$G$3</f>
        <v>236535.91516800708</v>
      </c>
      <c r="W22" s="300">
        <f>'Custom Truck TDC'!AG22*'Fixed Factors'!$H$3</f>
        <v>192931.77321824364</v>
      </c>
      <c r="X22" s="300">
        <f>'Custom Truck TDC'!AH22*'Fixed Factors'!$I$3</f>
        <v>17378.667054919792</v>
      </c>
      <c r="Y22" s="300">
        <f>'Custom Truck TDC'!AI22*'Fixed Factors'!$G$3</f>
        <v>0</v>
      </c>
      <c r="Z22" s="300">
        <f>'Custom Truck TDC'!AJ22*'Fixed Factors'!$H$3</f>
        <v>0</v>
      </c>
      <c r="AA22" s="300">
        <f>'Custom Truck TDC'!AK22*'Fixed Factors'!$I$3</f>
        <v>0</v>
      </c>
      <c r="AB22" s="300">
        <f>'Custom Truck TDC'!H22*'Custom Truck TDC'!T22*'Fixed Factors'!$E$29+'Custom Truck TDC'!H22*(1-'Custom Truck TDC'!T22)*'Fixed Factors'!$D$29</f>
        <v>0</v>
      </c>
      <c r="AC22" s="300">
        <f>'Custom Truck TDC'!I22*'Custom Truck TDC'!U22*'Fixed Factors'!$E$30+'Custom Truck TDC'!I22*(1-'Custom Truck TDC'!U22)*'Fixed Factors'!$D$30</f>
        <v>0</v>
      </c>
      <c r="AD22" s="300">
        <f>'Custom Truck TDC'!J22*'Custom Truck TDC'!V22*'Fixed Factors'!$E$31+'Custom Truck TDC'!J22*(1-'Custom Truck TDC'!V22)*'Fixed Factors'!$D$31</f>
        <v>482235.01995168941</v>
      </c>
      <c r="AE22" s="300">
        <f>'Custom Truck TDC'!K22*'Custom Truck TDC'!W22*'Fixed Factors'!$E$29+'Custom Truck TDC'!K22*(1-'Custom Truck TDC'!W22)*'Fixed Factors'!$D$29</f>
        <v>0</v>
      </c>
      <c r="AF22" s="300">
        <f>'Custom Truck TDC'!L22*'Custom Truck TDC'!X22*'Fixed Factors'!$E$30+'Custom Truck TDC'!L22*(1-'Custom Truck TDC'!X22)*'Fixed Factors'!$D$30</f>
        <v>0</v>
      </c>
      <c r="AG22" s="300">
        <f>'Custom Truck TDC'!M22*'Custom Truck TDC'!Y22*'Fixed Factors'!$E$31+'Custom Truck TDC'!M22*(1-'Custom Truck TDC'!Y22)*'Fixed Factors'!$D$31</f>
        <v>0</v>
      </c>
    </row>
    <row r="23" spans="1:33" x14ac:dyDescent="0.25">
      <c r="A23" s="70">
        <f>'Custom Truck TDC'!A23</f>
        <v>2036</v>
      </c>
      <c r="B23" s="298">
        <f>('Custom Truck TDC'!H23*(1-'Custom Truck TDC'!T23)*'Fixed Factors'!$D$3+'Custom Truck TDC'!H23*'Custom Truck TDC'!T23*'Fixed Factors'!$E$3)+(('Custom Truck TDC'!H23*(1-'Custom Truck TDC'!T23)*'Fixed Factors'!$D$8+'Custom Truck TDC'!H23*'Custom Truck TDC'!T23*'Fixed Factors'!$E$8)*'Fixed Factors'!$I$9)</f>
        <v>0</v>
      </c>
      <c r="C23" s="298">
        <f>('Custom Truck TDC'!I23*(1-'Custom Truck TDC'!U23)*'Fixed Factors'!$D$4+'Custom Truck TDC'!I23*'Custom Truck TDC'!U23*'Fixed Factors'!$E$4)+(('Custom Truck TDC'!I23*(1-'Custom Truck TDC'!U23)*'Fixed Factors'!$D$9+'Custom Truck TDC'!I23*'Custom Truck TDC'!U23*'Fixed Factors'!$E$9)*'Fixed Factors'!$I$9)</f>
        <v>0</v>
      </c>
      <c r="D23" s="298">
        <f>('Custom Truck TDC'!J23*(1-'Custom Truck TDC'!V23)*'Fixed Factors'!$D$5+'Custom Truck TDC'!J23*'Custom Truck TDC'!V23*'Fixed Factors'!$E$5)+(('Custom Truck TDC'!J23*(1-'Custom Truck TDC'!V23)*'Fixed Factors'!$D$10+'Custom Truck TDC'!J23*'Custom Truck TDC'!V23*'Fixed Factors'!$E$10)*'Fixed Factors'!$I$8)</f>
        <v>3343602.3760611308</v>
      </c>
      <c r="E23" s="298">
        <f>('Custom Truck TDC'!K23*(1-'Custom Truck TDC'!W23)*'Fixed Factors'!$D$3+'Custom Truck TDC'!K23*'Custom Truck TDC'!W23*'Fixed Factors'!$E$3)+(('Custom Truck TDC'!K23*(1-'Custom Truck TDC'!W23)*'Fixed Factors'!$D$8+'Custom Truck TDC'!K23*'Custom Truck TDC'!W23*'Fixed Factors'!$E$8)*'Fixed Factors'!$I$9)</f>
        <v>0</v>
      </c>
      <c r="F23" s="298">
        <f>('Custom Truck TDC'!L23*(1-'Custom Truck TDC'!X23)*'Fixed Factors'!$D$4+'Custom Truck TDC'!L23*'Custom Truck TDC'!X23*'Fixed Factors'!$E$4)+(('Custom Truck TDC'!L23*(1-'Custom Truck TDC'!X23)*'Fixed Factors'!$D$9+'Custom Truck TDC'!L23*'Custom Truck TDC'!X23*'Fixed Factors'!$E$9)*'Fixed Factors'!$I$9)</f>
        <v>0</v>
      </c>
      <c r="G23" s="298">
        <f>('Custom Truck TDC'!M23*(1-'Custom Truck TDC'!Y23)*'Fixed Factors'!$D$5+'Custom Truck TDC'!M23*'Custom Truck TDC'!Y23*'Fixed Factors'!$E$5)+(('Custom Truck TDC'!M23*(1-'Custom Truck TDC'!Y23)*'Fixed Factors'!$D$10+'Custom Truck TDC'!M23*'Custom Truck TDC'!Y23*'Fixed Factors'!$E$10)*'Fixed Factors'!$I$8)</f>
        <v>0</v>
      </c>
      <c r="H23" s="299">
        <f>'Custom Truck TDC'!N23*'Fixed Factors'!$I$13*'Fixed Factors'!$C$13</f>
        <v>0</v>
      </c>
      <c r="I23" s="299">
        <f>'Custom Truck TDC'!O23*'Fixed Factors'!$I$14*'Fixed Factors'!$C$14</f>
        <v>0</v>
      </c>
      <c r="J23" s="299">
        <f>'Custom Truck TDC'!P23*'Fixed Factors'!$I$15*'Fixed Factors'!$C$15</f>
        <v>1099554.6160088689</v>
      </c>
      <c r="K23" s="300">
        <f>'Custom Truck TDC'!Q23*'Fixed Factors'!$I$13*'Fixed Factors'!$C$13</f>
        <v>0</v>
      </c>
      <c r="L23" s="300">
        <f>'Custom Truck TDC'!R23*'Fixed Factors'!$I$14*'Fixed Factors'!$C$14</f>
        <v>0</v>
      </c>
      <c r="M23" s="300">
        <f>'Custom Truck TDC'!S23*'Fixed Factors'!$I$15*'Fixed Factors'!$C$15</f>
        <v>0</v>
      </c>
      <c r="N23" s="300">
        <f>'Custom Truck TDC'!P23*'Custom Truck Shipper-Logistics'!$I$5*'Custom Truck Shipper-Logistics'!$I$7*SUMPRODUCT('Custom Truck Shipper-Logistics'!$D$6:$D$48,'Custom Truck Shipper-Logistics'!$N$6:$N$48)</f>
        <v>3180927.1568100918</v>
      </c>
      <c r="O23" s="300">
        <f>'Custom Truck TDC'!S23*'Custom Truck Shipper-Logistics'!$I$5*'Custom Truck Shipper-Logistics'!$I$7*SUMPRODUCT('Custom Truck Shipper-Logistics'!$D$6:$D$48,'Custom Truck Shipper-Logistics'!$N$6:$N$48)</f>
        <v>0</v>
      </c>
      <c r="P23" s="299">
        <f>'Custom Truck TDC'!Z23*'Fixed Factors'!$D$13</f>
        <v>0</v>
      </c>
      <c r="Q23" s="299">
        <f>'Custom Truck TDC'!AA23*'Fixed Factors'!$D$14</f>
        <v>0</v>
      </c>
      <c r="R23" s="299">
        <f>'Custom Truck TDC'!AB23*'Fixed Factors'!$D$15</f>
        <v>66091.978879305811</v>
      </c>
      <c r="S23" s="299">
        <f>'Custom Truck TDC'!AC23*'Fixed Factors'!$D$13</f>
        <v>0</v>
      </c>
      <c r="T23" s="299">
        <f>'Custom Truck TDC'!AD23*'Fixed Factors'!$D$14</f>
        <v>0</v>
      </c>
      <c r="U23" s="299">
        <f>'Custom Truck TDC'!AE23*'Fixed Factors'!$D$15</f>
        <v>0</v>
      </c>
      <c r="V23" s="300">
        <f>'Custom Truck TDC'!AF23*'Fixed Factors'!$G$3</f>
        <v>241077.98007378032</v>
      </c>
      <c r="W23" s="300">
        <f>'Custom Truck TDC'!AG23*'Fixed Factors'!$H$3</f>
        <v>196636.53253870778</v>
      </c>
      <c r="X23" s="300">
        <f>'Custom Truck TDC'!AH23*'Fixed Factors'!$I$3</f>
        <v>17712.379733111607</v>
      </c>
      <c r="Y23" s="300">
        <f>'Custom Truck TDC'!AI23*'Fixed Factors'!$G$3</f>
        <v>0</v>
      </c>
      <c r="Z23" s="300">
        <f>'Custom Truck TDC'!AJ23*'Fixed Factors'!$H$3</f>
        <v>0</v>
      </c>
      <c r="AA23" s="300">
        <f>'Custom Truck TDC'!AK23*'Fixed Factors'!$I$3</f>
        <v>0</v>
      </c>
      <c r="AB23" s="300">
        <f>'Custom Truck TDC'!H23*'Custom Truck TDC'!T23*'Fixed Factors'!$E$29+'Custom Truck TDC'!H23*(1-'Custom Truck TDC'!T23)*'Fixed Factors'!$D$29</f>
        <v>0</v>
      </c>
      <c r="AC23" s="300">
        <f>'Custom Truck TDC'!I23*'Custom Truck TDC'!U23*'Fixed Factors'!$E$30+'Custom Truck TDC'!I23*(1-'Custom Truck TDC'!U23)*'Fixed Factors'!$D$30</f>
        <v>0</v>
      </c>
      <c r="AD23" s="300">
        <f>'Custom Truck TDC'!J23*'Custom Truck TDC'!V23*'Fixed Factors'!$E$31+'Custom Truck TDC'!J23*(1-'Custom Truck TDC'!V23)*'Fixed Factors'!$D$31</f>
        <v>491495.1052918022</v>
      </c>
      <c r="AE23" s="300">
        <f>'Custom Truck TDC'!K23*'Custom Truck TDC'!W23*'Fixed Factors'!$E$29+'Custom Truck TDC'!K23*(1-'Custom Truck TDC'!W23)*'Fixed Factors'!$D$29</f>
        <v>0</v>
      </c>
      <c r="AF23" s="300">
        <f>'Custom Truck TDC'!L23*'Custom Truck TDC'!X23*'Fixed Factors'!$E$30+'Custom Truck TDC'!L23*(1-'Custom Truck TDC'!X23)*'Fixed Factors'!$D$30</f>
        <v>0</v>
      </c>
      <c r="AG23" s="300">
        <f>'Custom Truck TDC'!M23*'Custom Truck TDC'!Y23*'Fixed Factors'!$E$31+'Custom Truck TDC'!M23*(1-'Custom Truck TDC'!Y23)*'Fixed Factors'!$D$31</f>
        <v>0</v>
      </c>
    </row>
    <row r="24" spans="1:33" x14ac:dyDescent="0.25">
      <c r="A24" s="70">
        <f>'Custom Truck TDC'!A24</f>
        <v>2037</v>
      </c>
      <c r="B24" s="298">
        <f>('Custom Truck TDC'!H24*(1-'Custom Truck TDC'!T24)*'Fixed Factors'!$D$3+'Custom Truck TDC'!H24*'Custom Truck TDC'!T24*'Fixed Factors'!$E$3)+(('Custom Truck TDC'!H24*(1-'Custom Truck TDC'!T24)*'Fixed Factors'!$D$8+'Custom Truck TDC'!H24*'Custom Truck TDC'!T24*'Fixed Factors'!$E$8)*'Fixed Factors'!$I$9)</f>
        <v>0</v>
      </c>
      <c r="C24" s="298">
        <f>('Custom Truck TDC'!I24*(1-'Custom Truck TDC'!U24)*'Fixed Factors'!$D$4+'Custom Truck TDC'!I24*'Custom Truck TDC'!U24*'Fixed Factors'!$E$4)+(('Custom Truck TDC'!I24*(1-'Custom Truck TDC'!U24)*'Fixed Factors'!$D$9+'Custom Truck TDC'!I24*'Custom Truck TDC'!U24*'Fixed Factors'!$E$9)*'Fixed Factors'!$I$9)</f>
        <v>0</v>
      </c>
      <c r="D24" s="298">
        <f>('Custom Truck TDC'!J24*(1-'Custom Truck TDC'!V24)*'Fixed Factors'!$D$5+'Custom Truck TDC'!J24*'Custom Truck TDC'!V24*'Fixed Factors'!$E$5)+(('Custom Truck TDC'!J24*(1-'Custom Truck TDC'!V24)*'Fixed Factors'!$D$10+'Custom Truck TDC'!J24*'Custom Truck TDC'!V24*'Fixed Factors'!$E$10)*'Fixed Factors'!$I$8)</f>
        <v>3407807.6744420566</v>
      </c>
      <c r="E24" s="298">
        <f>('Custom Truck TDC'!K24*(1-'Custom Truck TDC'!W24)*'Fixed Factors'!$D$3+'Custom Truck TDC'!K24*'Custom Truck TDC'!W24*'Fixed Factors'!$E$3)+(('Custom Truck TDC'!K24*(1-'Custom Truck TDC'!W24)*'Fixed Factors'!$D$8+'Custom Truck TDC'!K24*'Custom Truck TDC'!W24*'Fixed Factors'!$E$8)*'Fixed Factors'!$I$9)</f>
        <v>0</v>
      </c>
      <c r="F24" s="298">
        <f>('Custom Truck TDC'!L24*(1-'Custom Truck TDC'!X24)*'Fixed Factors'!$D$4+'Custom Truck TDC'!L24*'Custom Truck TDC'!X24*'Fixed Factors'!$E$4)+(('Custom Truck TDC'!L24*(1-'Custom Truck TDC'!X24)*'Fixed Factors'!$D$9+'Custom Truck TDC'!L24*'Custom Truck TDC'!X24*'Fixed Factors'!$E$9)*'Fixed Factors'!$I$9)</f>
        <v>0</v>
      </c>
      <c r="G24" s="298">
        <f>('Custom Truck TDC'!M24*(1-'Custom Truck TDC'!Y24)*'Fixed Factors'!$D$5+'Custom Truck TDC'!M24*'Custom Truck TDC'!Y24*'Fixed Factors'!$E$5)+(('Custom Truck TDC'!M24*(1-'Custom Truck TDC'!Y24)*'Fixed Factors'!$D$10+'Custom Truck TDC'!M24*'Custom Truck TDC'!Y24*'Fixed Factors'!$E$10)*'Fixed Factors'!$I$8)</f>
        <v>0</v>
      </c>
      <c r="H24" s="299">
        <f>'Custom Truck TDC'!N24*'Fixed Factors'!$I$13*'Fixed Factors'!$C$13</f>
        <v>0</v>
      </c>
      <c r="I24" s="299">
        <f>'Custom Truck TDC'!O24*'Fixed Factors'!$I$14*'Fixed Factors'!$C$14</f>
        <v>0</v>
      </c>
      <c r="J24" s="299">
        <f>'Custom Truck TDC'!P24*'Fixed Factors'!$I$15*'Fixed Factors'!$C$15</f>
        <v>1120668.7391212408</v>
      </c>
      <c r="K24" s="300">
        <f>'Custom Truck TDC'!Q24*'Fixed Factors'!$I$13*'Fixed Factors'!$C$13</f>
        <v>0</v>
      </c>
      <c r="L24" s="300">
        <f>'Custom Truck TDC'!R24*'Fixed Factors'!$I$14*'Fixed Factors'!$C$14</f>
        <v>0</v>
      </c>
      <c r="M24" s="300">
        <f>'Custom Truck TDC'!S24*'Fixed Factors'!$I$15*'Fixed Factors'!$C$15</f>
        <v>0</v>
      </c>
      <c r="N24" s="300">
        <f>'Custom Truck TDC'!P24*'Custom Truck Shipper-Logistics'!$I$5*'Custom Truck Shipper-Logistics'!$I$7*SUMPRODUCT('Custom Truck Shipper-Logistics'!$D$6:$D$48,'Custom Truck Shipper-Logistics'!$N$6:$N$48)</f>
        <v>3242008.6953007937</v>
      </c>
      <c r="O24" s="300">
        <f>'Custom Truck TDC'!S24*'Custom Truck Shipper-Logistics'!$I$5*'Custom Truck Shipper-Logistics'!$I$7*SUMPRODUCT('Custom Truck Shipper-Logistics'!$D$6:$D$48,'Custom Truck Shipper-Logistics'!$N$6:$N$48)</f>
        <v>0</v>
      </c>
      <c r="P24" s="299">
        <f>'Custom Truck TDC'!Z24*'Fixed Factors'!$D$13</f>
        <v>0</v>
      </c>
      <c r="Q24" s="299">
        <f>'Custom Truck TDC'!AA24*'Fixed Factors'!$D$14</f>
        <v>0</v>
      </c>
      <c r="R24" s="299">
        <f>'Custom Truck TDC'!AB24*'Fixed Factors'!$D$15</f>
        <v>67361.105631611383</v>
      </c>
      <c r="S24" s="299">
        <f>'Custom Truck TDC'!AC24*'Fixed Factors'!$D$13</f>
        <v>0</v>
      </c>
      <c r="T24" s="299">
        <f>'Custom Truck TDC'!AD24*'Fixed Factors'!$D$14</f>
        <v>0</v>
      </c>
      <c r="U24" s="299">
        <f>'Custom Truck TDC'!AE24*'Fixed Factors'!$D$15</f>
        <v>0</v>
      </c>
      <c r="V24" s="300">
        <f>'Custom Truck TDC'!AF24*'Fixed Factors'!$G$3</f>
        <v>245707.2636735671</v>
      </c>
      <c r="W24" s="300">
        <f>'Custom Truck TDC'!AG24*'Fixed Factors'!$H$3</f>
        <v>200412.43224933997</v>
      </c>
      <c r="X24" s="300">
        <f>'Custom Truck TDC'!AH24*'Fixed Factors'!$I$3</f>
        <v>18052.500506425687</v>
      </c>
      <c r="Y24" s="300">
        <f>'Custom Truck TDC'!AI24*'Fixed Factors'!$G$3</f>
        <v>0</v>
      </c>
      <c r="Z24" s="300">
        <f>'Custom Truck TDC'!AJ24*'Fixed Factors'!$H$3</f>
        <v>0</v>
      </c>
      <c r="AA24" s="300">
        <f>'Custom Truck TDC'!AK24*'Fixed Factors'!$I$3</f>
        <v>0</v>
      </c>
      <c r="AB24" s="300">
        <f>'Custom Truck TDC'!H24*'Custom Truck TDC'!T24*'Fixed Factors'!$E$29+'Custom Truck TDC'!H24*(1-'Custom Truck TDC'!T24)*'Fixed Factors'!$D$29</f>
        <v>0</v>
      </c>
      <c r="AC24" s="300">
        <f>'Custom Truck TDC'!I24*'Custom Truck TDC'!U24*'Fixed Factors'!$E$30+'Custom Truck TDC'!I24*(1-'Custom Truck TDC'!U24)*'Fixed Factors'!$D$30</f>
        <v>0</v>
      </c>
      <c r="AD24" s="300">
        <f>'Custom Truck TDC'!J24*'Custom Truck TDC'!V24*'Fixed Factors'!$E$31+'Custom Truck TDC'!J24*(1-'Custom Truck TDC'!V24)*'Fixed Factors'!$D$31</f>
        <v>500933.00679407339</v>
      </c>
      <c r="AE24" s="300">
        <f>'Custom Truck TDC'!K24*'Custom Truck TDC'!W24*'Fixed Factors'!$E$29+'Custom Truck TDC'!K24*(1-'Custom Truck TDC'!W24)*'Fixed Factors'!$D$29</f>
        <v>0</v>
      </c>
      <c r="AF24" s="300">
        <f>'Custom Truck TDC'!L24*'Custom Truck TDC'!X24*'Fixed Factors'!$E$30+'Custom Truck TDC'!L24*(1-'Custom Truck TDC'!X24)*'Fixed Factors'!$D$30</f>
        <v>0</v>
      </c>
      <c r="AG24" s="300">
        <f>'Custom Truck TDC'!M24*'Custom Truck TDC'!Y24*'Fixed Factors'!$E$31+'Custom Truck TDC'!M24*(1-'Custom Truck TDC'!Y24)*'Fixed Factors'!$D$31</f>
        <v>0</v>
      </c>
    </row>
    <row r="25" spans="1:33" x14ac:dyDescent="0.25">
      <c r="A25" s="70">
        <f>'Custom Truck TDC'!A25</f>
        <v>2038</v>
      </c>
      <c r="B25" s="298">
        <f>('Custom Truck TDC'!H25*(1-'Custom Truck TDC'!T25)*'Fixed Factors'!$D$3+'Custom Truck TDC'!H25*'Custom Truck TDC'!T25*'Fixed Factors'!$E$3)+(('Custom Truck TDC'!H25*(1-'Custom Truck TDC'!T25)*'Fixed Factors'!$D$8+'Custom Truck TDC'!H25*'Custom Truck TDC'!T25*'Fixed Factors'!$E$8)*'Fixed Factors'!$I$9)</f>
        <v>0</v>
      </c>
      <c r="C25" s="298">
        <f>('Custom Truck TDC'!I25*(1-'Custom Truck TDC'!U25)*'Fixed Factors'!$D$4+'Custom Truck TDC'!I25*'Custom Truck TDC'!U25*'Fixed Factors'!$E$4)+(('Custom Truck TDC'!I25*(1-'Custom Truck TDC'!U25)*'Fixed Factors'!$D$9+'Custom Truck TDC'!I25*'Custom Truck TDC'!U25*'Fixed Factors'!$E$9)*'Fixed Factors'!$I$9)</f>
        <v>0</v>
      </c>
      <c r="D25" s="298">
        <f>('Custom Truck TDC'!J25*(1-'Custom Truck TDC'!V25)*'Fixed Factors'!$D$5+'Custom Truck TDC'!J25*'Custom Truck TDC'!V25*'Fixed Factors'!$E$5)+(('Custom Truck TDC'!J25*(1-'Custom Truck TDC'!V25)*'Fixed Factors'!$D$10+'Custom Truck TDC'!J25*'Custom Truck TDC'!V25*'Fixed Factors'!$E$10)*'Fixed Factors'!$I$8)</f>
        <v>3473245.8707206808</v>
      </c>
      <c r="E25" s="298">
        <f>('Custom Truck TDC'!K25*(1-'Custom Truck TDC'!W25)*'Fixed Factors'!$D$3+'Custom Truck TDC'!K25*'Custom Truck TDC'!W25*'Fixed Factors'!$E$3)+(('Custom Truck TDC'!K25*(1-'Custom Truck TDC'!W25)*'Fixed Factors'!$D$8+'Custom Truck TDC'!K25*'Custom Truck TDC'!W25*'Fixed Factors'!$E$8)*'Fixed Factors'!$I$9)</f>
        <v>0</v>
      </c>
      <c r="F25" s="298">
        <f>('Custom Truck TDC'!L25*(1-'Custom Truck TDC'!X25)*'Fixed Factors'!$D$4+'Custom Truck TDC'!L25*'Custom Truck TDC'!X25*'Fixed Factors'!$E$4)+(('Custom Truck TDC'!L25*(1-'Custom Truck TDC'!X25)*'Fixed Factors'!$D$9+'Custom Truck TDC'!L25*'Custom Truck TDC'!X25*'Fixed Factors'!$E$9)*'Fixed Factors'!$I$9)</f>
        <v>0</v>
      </c>
      <c r="G25" s="298">
        <f>('Custom Truck TDC'!M25*(1-'Custom Truck TDC'!Y25)*'Fixed Factors'!$D$5+'Custom Truck TDC'!M25*'Custom Truck TDC'!Y25*'Fixed Factors'!$E$5)+(('Custom Truck TDC'!M25*(1-'Custom Truck TDC'!Y25)*'Fixed Factors'!$D$10+'Custom Truck TDC'!M25*'Custom Truck TDC'!Y25*'Fixed Factors'!$E$10)*'Fixed Factors'!$I$8)</f>
        <v>0</v>
      </c>
      <c r="H25" s="299">
        <f>'Custom Truck TDC'!N25*'Fixed Factors'!$I$13*'Fixed Factors'!$C$13</f>
        <v>0</v>
      </c>
      <c r="I25" s="299">
        <f>'Custom Truck TDC'!O25*'Fixed Factors'!$I$14*'Fixed Factors'!$C$14</f>
        <v>0</v>
      </c>
      <c r="J25" s="299">
        <f>'Custom Truck TDC'!P25*'Fixed Factors'!$I$15*'Fixed Factors'!$C$15</f>
        <v>1142188.3047539874</v>
      </c>
      <c r="K25" s="300">
        <f>'Custom Truck TDC'!Q25*'Fixed Factors'!$I$13*'Fixed Factors'!$C$13</f>
        <v>0</v>
      </c>
      <c r="L25" s="300">
        <f>'Custom Truck TDC'!R25*'Fixed Factors'!$I$14*'Fixed Factors'!$C$14</f>
        <v>0</v>
      </c>
      <c r="M25" s="300">
        <f>'Custom Truck TDC'!S25*'Fixed Factors'!$I$15*'Fixed Factors'!$C$15</f>
        <v>0</v>
      </c>
      <c r="N25" s="300">
        <f>'Custom Truck TDC'!P25*'Custom Truck Shipper-Logistics'!$I$5*'Custom Truck Shipper-Logistics'!$I$7*SUMPRODUCT('Custom Truck Shipper-Logistics'!$D$6:$D$48,'Custom Truck Shipper-Logistics'!$N$6:$N$48)</f>
        <v>3304263.1479012719</v>
      </c>
      <c r="O25" s="300">
        <f>'Custom Truck TDC'!S25*'Custom Truck Shipper-Logistics'!$I$5*'Custom Truck Shipper-Logistics'!$I$7*SUMPRODUCT('Custom Truck Shipper-Logistics'!$D$6:$D$48,'Custom Truck Shipper-Logistics'!$N$6:$N$48)</f>
        <v>0</v>
      </c>
      <c r="P25" s="299">
        <f>'Custom Truck TDC'!Z25*'Fixed Factors'!$D$13</f>
        <v>0</v>
      </c>
      <c r="Q25" s="299">
        <f>'Custom Truck TDC'!AA25*'Fixed Factors'!$D$14</f>
        <v>0</v>
      </c>
      <c r="R25" s="299">
        <f>'Custom Truck TDC'!AB25*'Fixed Factors'!$D$15</f>
        <v>68654.602704502453</v>
      </c>
      <c r="S25" s="299">
        <f>'Custom Truck TDC'!AC25*'Fixed Factors'!$D$13</f>
        <v>0</v>
      </c>
      <c r="T25" s="299">
        <f>'Custom Truck TDC'!AD25*'Fixed Factors'!$D$14</f>
        <v>0</v>
      </c>
      <c r="U25" s="299">
        <f>'Custom Truck TDC'!AE25*'Fixed Factors'!$D$15</f>
        <v>0</v>
      </c>
      <c r="V25" s="300">
        <f>'Custom Truck TDC'!AF25*'Fixed Factors'!$G$3</f>
        <v>250425.44077843762</v>
      </c>
      <c r="W25" s="300">
        <f>'Custom Truck TDC'!AG25*'Fixed Factors'!$H$3</f>
        <v>204260.83841866875</v>
      </c>
      <c r="X25" s="300">
        <f>'Custom Truck TDC'!AH25*'Fixed Factors'!$I$3</f>
        <v>18399.152425875003</v>
      </c>
      <c r="Y25" s="300">
        <f>'Custom Truck TDC'!AI25*'Fixed Factors'!$G$3</f>
        <v>0</v>
      </c>
      <c r="Z25" s="300">
        <f>'Custom Truck TDC'!AJ25*'Fixed Factors'!$H$3</f>
        <v>0</v>
      </c>
      <c r="AA25" s="300">
        <f>'Custom Truck TDC'!AK25*'Fixed Factors'!$I$3</f>
        <v>0</v>
      </c>
      <c r="AB25" s="300">
        <f>'Custom Truck TDC'!H25*'Custom Truck TDC'!T25*'Fixed Factors'!$E$29+'Custom Truck TDC'!H25*(1-'Custom Truck TDC'!T25)*'Fixed Factors'!$D$29</f>
        <v>0</v>
      </c>
      <c r="AC25" s="300">
        <f>'Custom Truck TDC'!I25*'Custom Truck TDC'!U25*'Fixed Factors'!$E$30+'Custom Truck TDC'!I25*(1-'Custom Truck TDC'!U25)*'Fixed Factors'!$D$30</f>
        <v>0</v>
      </c>
      <c r="AD25" s="300">
        <f>'Custom Truck TDC'!J25*'Custom Truck TDC'!V25*'Fixed Factors'!$E$31+'Custom Truck TDC'!J25*(1-'Custom Truck TDC'!V25)*'Fixed Factors'!$D$31</f>
        <v>510552.13896132482</v>
      </c>
      <c r="AE25" s="300">
        <f>'Custom Truck TDC'!K25*'Custom Truck TDC'!W25*'Fixed Factors'!$E$29+'Custom Truck TDC'!K25*(1-'Custom Truck TDC'!W25)*'Fixed Factors'!$D$29</f>
        <v>0</v>
      </c>
      <c r="AF25" s="300">
        <f>'Custom Truck TDC'!L25*'Custom Truck TDC'!X25*'Fixed Factors'!$E$30+'Custom Truck TDC'!L25*(1-'Custom Truck TDC'!X25)*'Fixed Factors'!$D$30</f>
        <v>0</v>
      </c>
      <c r="AG25" s="300">
        <f>'Custom Truck TDC'!M25*'Custom Truck TDC'!Y25*'Fixed Factors'!$E$31+'Custom Truck TDC'!M25*(1-'Custom Truck TDC'!Y25)*'Fixed Factors'!$D$31</f>
        <v>0</v>
      </c>
    </row>
    <row r="26" spans="1:33" x14ac:dyDescent="0.25">
      <c r="A26" s="70">
        <f>'Custom Truck TDC'!A26</f>
        <v>2039</v>
      </c>
      <c r="B26" s="298">
        <f>('Custom Truck TDC'!H26*(1-'Custom Truck TDC'!T26)*'Fixed Factors'!$D$3+'Custom Truck TDC'!H26*'Custom Truck TDC'!T26*'Fixed Factors'!$E$3)+(('Custom Truck TDC'!H26*(1-'Custom Truck TDC'!T26)*'Fixed Factors'!$D$8+'Custom Truck TDC'!H26*'Custom Truck TDC'!T26*'Fixed Factors'!$E$8)*'Fixed Factors'!$I$9)</f>
        <v>0</v>
      </c>
      <c r="C26" s="298">
        <f>('Custom Truck TDC'!I26*(1-'Custom Truck TDC'!U26)*'Fixed Factors'!$D$4+'Custom Truck TDC'!I26*'Custom Truck TDC'!U26*'Fixed Factors'!$E$4)+(('Custom Truck TDC'!I26*(1-'Custom Truck TDC'!U26)*'Fixed Factors'!$D$9+'Custom Truck TDC'!I26*'Custom Truck TDC'!U26*'Fixed Factors'!$E$9)*'Fixed Factors'!$I$9)</f>
        <v>0</v>
      </c>
      <c r="D26" s="298">
        <f>('Custom Truck TDC'!J26*(1-'Custom Truck TDC'!V26)*'Fixed Factors'!$D$5+'Custom Truck TDC'!J26*'Custom Truck TDC'!V26*'Fixed Factors'!$E$5)+(('Custom Truck TDC'!J26*(1-'Custom Truck TDC'!V26)*'Fixed Factors'!$D$10+'Custom Truck TDC'!J26*'Custom Truck TDC'!V26*'Fixed Factors'!$E$10)*'Fixed Factors'!$I$8)</f>
        <v>3539940.6395354588</v>
      </c>
      <c r="E26" s="298">
        <f>('Custom Truck TDC'!K26*(1-'Custom Truck TDC'!W26)*'Fixed Factors'!$D$3+'Custom Truck TDC'!K26*'Custom Truck TDC'!W26*'Fixed Factors'!$E$3)+(('Custom Truck TDC'!K26*(1-'Custom Truck TDC'!W26)*'Fixed Factors'!$D$8+'Custom Truck TDC'!K26*'Custom Truck TDC'!W26*'Fixed Factors'!$E$8)*'Fixed Factors'!$I$9)</f>
        <v>0</v>
      </c>
      <c r="F26" s="298">
        <f>('Custom Truck TDC'!L26*(1-'Custom Truck TDC'!X26)*'Fixed Factors'!$D$4+'Custom Truck TDC'!L26*'Custom Truck TDC'!X26*'Fixed Factors'!$E$4)+(('Custom Truck TDC'!L26*(1-'Custom Truck TDC'!X26)*'Fixed Factors'!$D$9+'Custom Truck TDC'!L26*'Custom Truck TDC'!X26*'Fixed Factors'!$E$9)*'Fixed Factors'!$I$9)</f>
        <v>0</v>
      </c>
      <c r="G26" s="298">
        <f>('Custom Truck TDC'!M26*(1-'Custom Truck TDC'!Y26)*'Fixed Factors'!$D$5+'Custom Truck TDC'!M26*'Custom Truck TDC'!Y26*'Fixed Factors'!$E$5)+(('Custom Truck TDC'!M26*(1-'Custom Truck TDC'!Y26)*'Fixed Factors'!$D$10+'Custom Truck TDC'!M26*'Custom Truck TDC'!Y26*'Fixed Factors'!$E$10)*'Fixed Factors'!$I$8)</f>
        <v>0</v>
      </c>
      <c r="H26" s="299">
        <f>'Custom Truck TDC'!N26*'Fixed Factors'!$I$13*'Fixed Factors'!$C$13</f>
        <v>0</v>
      </c>
      <c r="I26" s="299">
        <f>'Custom Truck TDC'!O26*'Fixed Factors'!$I$14*'Fixed Factors'!$C$14</f>
        <v>0</v>
      </c>
      <c r="J26" s="299">
        <f>'Custom Truck TDC'!P26*'Fixed Factors'!$I$15*'Fixed Factors'!$C$15</f>
        <v>1164121.0983896719</v>
      </c>
      <c r="K26" s="300">
        <f>'Custom Truck TDC'!Q26*'Fixed Factors'!$I$13*'Fixed Factors'!$C$13</f>
        <v>0</v>
      </c>
      <c r="L26" s="300">
        <f>'Custom Truck TDC'!R26*'Fixed Factors'!$I$14*'Fixed Factors'!$C$14</f>
        <v>0</v>
      </c>
      <c r="M26" s="300">
        <f>'Custom Truck TDC'!S26*'Fixed Factors'!$I$15*'Fixed Factors'!$C$15</f>
        <v>0</v>
      </c>
      <c r="N26" s="300">
        <f>'Custom Truck TDC'!P26*'Custom Truck Shipper-Logistics'!$I$5*'Custom Truck Shipper-Logistics'!$I$7*SUMPRODUCT('Custom Truck Shipper-Logistics'!$D$6:$D$48,'Custom Truck Shipper-Logistics'!$N$6:$N$48)</f>
        <v>3367713.0374153531</v>
      </c>
      <c r="O26" s="300">
        <f>'Custom Truck TDC'!S26*'Custom Truck Shipper-Logistics'!$I$5*'Custom Truck Shipper-Logistics'!$I$7*SUMPRODUCT('Custom Truck Shipper-Logistics'!$D$6:$D$48,'Custom Truck Shipper-Logistics'!$N$6:$N$48)</f>
        <v>0</v>
      </c>
      <c r="P26" s="299">
        <f>'Custom Truck TDC'!Z26*'Fixed Factors'!$D$13</f>
        <v>0</v>
      </c>
      <c r="Q26" s="299">
        <f>'Custom Truck TDC'!AA26*'Fixed Factors'!$D$14</f>
        <v>0</v>
      </c>
      <c r="R26" s="299">
        <f>'Custom Truck TDC'!AB26*'Fixed Factors'!$D$15</f>
        <v>69972.938067411014</v>
      </c>
      <c r="S26" s="299">
        <f>'Custom Truck TDC'!AC26*'Fixed Factors'!$D$13</f>
        <v>0</v>
      </c>
      <c r="T26" s="299">
        <f>'Custom Truck TDC'!AD26*'Fixed Factors'!$D$14</f>
        <v>0</v>
      </c>
      <c r="U26" s="299">
        <f>'Custom Truck TDC'!AE26*'Fixed Factors'!$D$15</f>
        <v>0</v>
      </c>
      <c r="V26" s="300">
        <f>'Custom Truck TDC'!AF26*'Fixed Factors'!$G$3</f>
        <v>255234.21835990815</v>
      </c>
      <c r="W26" s="300">
        <f>'Custom Truck TDC'!AG26*'Fixed Factors'!$H$3</f>
        <v>208183.14334706104</v>
      </c>
      <c r="X26" s="300">
        <f>'Custom Truck TDC'!AH26*'Fixed Factors'!$I$3</f>
        <v>18752.46090535128</v>
      </c>
      <c r="Y26" s="300">
        <f>'Custom Truck TDC'!AI26*'Fixed Factors'!$G$3</f>
        <v>0</v>
      </c>
      <c r="Z26" s="300">
        <f>'Custom Truck TDC'!AJ26*'Fixed Factors'!$H$3</f>
        <v>0</v>
      </c>
      <c r="AA26" s="300">
        <f>'Custom Truck TDC'!AK26*'Fixed Factors'!$I$3</f>
        <v>0</v>
      </c>
      <c r="AB26" s="300">
        <f>'Custom Truck TDC'!H26*'Custom Truck TDC'!T26*'Fixed Factors'!$E$29+'Custom Truck TDC'!H26*(1-'Custom Truck TDC'!T26)*'Fixed Factors'!$D$29</f>
        <v>0</v>
      </c>
      <c r="AC26" s="300">
        <f>'Custom Truck TDC'!I26*'Custom Truck TDC'!U26*'Fixed Factors'!$E$30+'Custom Truck TDC'!I26*(1-'Custom Truck TDC'!U26)*'Fixed Factors'!$D$30</f>
        <v>0</v>
      </c>
      <c r="AD26" s="300">
        <f>'Custom Truck TDC'!J26*'Custom Truck TDC'!V26*'Fixed Factors'!$E$31+'Custom Truck TDC'!J26*(1-'Custom Truck TDC'!V26)*'Fixed Factors'!$D$31</f>
        <v>520355.98186313774</v>
      </c>
      <c r="AE26" s="300">
        <f>'Custom Truck TDC'!K26*'Custom Truck TDC'!W26*'Fixed Factors'!$E$29+'Custom Truck TDC'!K26*(1-'Custom Truck TDC'!W26)*'Fixed Factors'!$D$29</f>
        <v>0</v>
      </c>
      <c r="AF26" s="300">
        <f>'Custom Truck TDC'!L26*'Custom Truck TDC'!X26*'Fixed Factors'!$E$30+'Custom Truck TDC'!L26*(1-'Custom Truck TDC'!X26)*'Fixed Factors'!$D$30</f>
        <v>0</v>
      </c>
      <c r="AG26" s="300">
        <f>'Custom Truck TDC'!M26*'Custom Truck TDC'!Y26*'Fixed Factors'!$E$31+'Custom Truck TDC'!M26*(1-'Custom Truck TDC'!Y26)*'Fixed Factors'!$D$31</f>
        <v>0</v>
      </c>
    </row>
    <row r="27" spans="1:33" x14ac:dyDescent="0.25">
      <c r="A27" s="70">
        <f>'Custom Truck TDC'!A27</f>
        <v>2040</v>
      </c>
      <c r="B27" s="298">
        <f>('Custom Truck TDC'!H27*(1-'Custom Truck TDC'!T27)*'Fixed Factors'!$D$3+'Custom Truck TDC'!H27*'Custom Truck TDC'!T27*'Fixed Factors'!$E$3)+(('Custom Truck TDC'!H27*(1-'Custom Truck TDC'!T27)*'Fixed Factors'!$D$8+'Custom Truck TDC'!H27*'Custom Truck TDC'!T27*'Fixed Factors'!$E$8)*'Fixed Factors'!$I$9)</f>
        <v>0</v>
      </c>
      <c r="C27" s="298">
        <f>('Custom Truck TDC'!I27*(1-'Custom Truck TDC'!U27)*'Fixed Factors'!$D$4+'Custom Truck TDC'!I27*'Custom Truck TDC'!U27*'Fixed Factors'!$E$4)+(('Custom Truck TDC'!I27*(1-'Custom Truck TDC'!U27)*'Fixed Factors'!$D$9+'Custom Truck TDC'!I27*'Custom Truck TDC'!U27*'Fixed Factors'!$E$9)*'Fixed Factors'!$I$9)</f>
        <v>0</v>
      </c>
      <c r="D27" s="298">
        <f>('Custom Truck TDC'!J27*(1-'Custom Truck TDC'!V27)*'Fixed Factors'!$D$5+'Custom Truck TDC'!J27*'Custom Truck TDC'!V27*'Fixed Factors'!$E$5)+(('Custom Truck TDC'!J27*(1-'Custom Truck TDC'!V27)*'Fixed Factors'!$D$10+'Custom Truck TDC'!J27*'Custom Truck TDC'!V27*'Fixed Factors'!$E$10)*'Fixed Factors'!$I$8)</f>
        <v>3607916.110135491</v>
      </c>
      <c r="E27" s="298">
        <f>('Custom Truck TDC'!K27*(1-'Custom Truck TDC'!W27)*'Fixed Factors'!$D$3+'Custom Truck TDC'!K27*'Custom Truck TDC'!W27*'Fixed Factors'!$E$3)+(('Custom Truck TDC'!K27*(1-'Custom Truck TDC'!W27)*'Fixed Factors'!$D$8+'Custom Truck TDC'!K27*'Custom Truck TDC'!W27*'Fixed Factors'!$E$8)*'Fixed Factors'!$I$9)</f>
        <v>0</v>
      </c>
      <c r="F27" s="298">
        <f>('Custom Truck TDC'!L27*(1-'Custom Truck TDC'!X27)*'Fixed Factors'!$D$4+'Custom Truck TDC'!L27*'Custom Truck TDC'!X27*'Fixed Factors'!$E$4)+(('Custom Truck TDC'!L27*(1-'Custom Truck TDC'!X27)*'Fixed Factors'!$D$9+'Custom Truck TDC'!L27*'Custom Truck TDC'!X27*'Fixed Factors'!$E$9)*'Fixed Factors'!$I$9)</f>
        <v>0</v>
      </c>
      <c r="G27" s="298">
        <f>('Custom Truck TDC'!M27*(1-'Custom Truck TDC'!Y27)*'Fixed Factors'!$D$5+'Custom Truck TDC'!M27*'Custom Truck TDC'!Y27*'Fixed Factors'!$E$5)+(('Custom Truck TDC'!M27*(1-'Custom Truck TDC'!Y27)*'Fixed Factors'!$D$10+'Custom Truck TDC'!M27*'Custom Truck TDC'!Y27*'Fixed Factors'!$E$10)*'Fixed Factors'!$I$8)</f>
        <v>0</v>
      </c>
      <c r="H27" s="299">
        <f>'Custom Truck TDC'!N27*'Fixed Factors'!$I$13*'Fixed Factors'!$C$13</f>
        <v>0</v>
      </c>
      <c r="I27" s="299">
        <f>'Custom Truck TDC'!O27*'Fixed Factors'!$I$14*'Fixed Factors'!$C$14</f>
        <v>0</v>
      </c>
      <c r="J27" s="299">
        <f>'Custom Truck TDC'!P27*'Fixed Factors'!$I$15*'Fixed Factors'!$C$15</f>
        <v>1186475.0550110599</v>
      </c>
      <c r="K27" s="300">
        <f>'Custom Truck TDC'!Q27*'Fixed Factors'!$I$13*'Fixed Factors'!$C$13</f>
        <v>0</v>
      </c>
      <c r="L27" s="300">
        <f>'Custom Truck TDC'!R27*'Fixed Factors'!$I$14*'Fixed Factors'!$C$14</f>
        <v>0</v>
      </c>
      <c r="M27" s="300">
        <f>'Custom Truck TDC'!S27*'Fixed Factors'!$I$15*'Fixed Factors'!$C$15</f>
        <v>0</v>
      </c>
      <c r="N27" s="300">
        <f>'Custom Truck TDC'!P27*'Custom Truck Shipper-Logistics'!$I$5*'Custom Truck Shipper-Logistics'!$I$7*SUMPRODUCT('Custom Truck Shipper-Logistics'!$D$6:$D$48,'Custom Truck Shipper-Logistics'!$N$6:$N$48)</f>
        <v>3432381.319139482</v>
      </c>
      <c r="O27" s="300">
        <f>'Custom Truck TDC'!S27*'Custom Truck Shipper-Logistics'!$I$5*'Custom Truck Shipper-Logistics'!$I$7*SUMPRODUCT('Custom Truck Shipper-Logistics'!$D$6:$D$48,'Custom Truck Shipper-Logistics'!$N$6:$N$48)</f>
        <v>0</v>
      </c>
      <c r="P27" s="299">
        <f>'Custom Truck TDC'!Z27*'Fixed Factors'!$D$13</f>
        <v>0</v>
      </c>
      <c r="Q27" s="299">
        <f>'Custom Truck TDC'!AA27*'Fixed Factors'!$D$14</f>
        <v>0</v>
      </c>
      <c r="R27" s="299">
        <f>'Custom Truck TDC'!AB27*'Fixed Factors'!$D$15</f>
        <v>71316.588675920459</v>
      </c>
      <c r="S27" s="299">
        <f>'Custom Truck TDC'!AC27*'Fixed Factors'!$D$13</f>
        <v>0</v>
      </c>
      <c r="T27" s="299">
        <f>'Custom Truck TDC'!AD27*'Fixed Factors'!$D$14</f>
        <v>0</v>
      </c>
      <c r="U27" s="299">
        <f>'Custom Truck TDC'!AE27*'Fixed Factors'!$D$15</f>
        <v>0</v>
      </c>
      <c r="V27" s="300">
        <f>'Custom Truck TDC'!AF27*'Fixed Factors'!$G$3</f>
        <v>260135.33616750024</v>
      </c>
      <c r="W27" s="300">
        <f>'Custom Truck TDC'!AG27*'Fixed Factors'!$H$3</f>
        <v>212180.76607043738</v>
      </c>
      <c r="X27" s="300">
        <f>'Custom Truck TDC'!AH27*'Fixed Factors'!$I$3</f>
        <v>19112.553766998033</v>
      </c>
      <c r="Y27" s="300">
        <f>'Custom Truck TDC'!AI27*'Fixed Factors'!$G$3</f>
        <v>0</v>
      </c>
      <c r="Z27" s="300">
        <f>'Custom Truck TDC'!AJ27*'Fixed Factors'!$H$3</f>
        <v>0</v>
      </c>
      <c r="AA27" s="300">
        <f>'Custom Truck TDC'!AK27*'Fixed Factors'!$I$3</f>
        <v>0</v>
      </c>
      <c r="AB27" s="300">
        <f>'Custom Truck TDC'!H27*'Custom Truck TDC'!T27*'Fixed Factors'!$E$29+'Custom Truck TDC'!H27*(1-'Custom Truck TDC'!T27)*'Fixed Factors'!$D$29</f>
        <v>0</v>
      </c>
      <c r="AC27" s="300">
        <f>'Custom Truck TDC'!I27*'Custom Truck TDC'!U27*'Fixed Factors'!$E$30+'Custom Truck TDC'!I27*(1-'Custom Truck TDC'!U27)*'Fixed Factors'!$D$30</f>
        <v>0</v>
      </c>
      <c r="AD27" s="300">
        <f>'Custom Truck TDC'!J27*'Custom Truck TDC'!V27*'Fixed Factors'!$E$31+'Custom Truck TDC'!J27*(1-'Custom Truck TDC'!V27)*'Fixed Factors'!$D$31</f>
        <v>530348.08239489421</v>
      </c>
      <c r="AE27" s="300">
        <f>'Custom Truck TDC'!K27*'Custom Truck TDC'!W27*'Fixed Factors'!$E$29+'Custom Truck TDC'!K27*(1-'Custom Truck TDC'!W27)*'Fixed Factors'!$D$29</f>
        <v>0</v>
      </c>
      <c r="AF27" s="300">
        <f>'Custom Truck TDC'!L27*'Custom Truck TDC'!X27*'Fixed Factors'!$E$30+'Custom Truck TDC'!L27*(1-'Custom Truck TDC'!X27)*'Fixed Factors'!$D$30</f>
        <v>0</v>
      </c>
      <c r="AG27" s="300">
        <f>'Custom Truck TDC'!M27*'Custom Truck TDC'!Y27*'Fixed Factors'!$E$31+'Custom Truck TDC'!M27*(1-'Custom Truck TDC'!Y27)*'Fixed Factors'!$D$31</f>
        <v>0</v>
      </c>
    </row>
    <row r="28" spans="1:33" x14ac:dyDescent="0.25">
      <c r="A28" s="70">
        <f>'Custom Truck TDC'!A28</f>
        <v>2041</v>
      </c>
      <c r="B28" s="298">
        <f>('Custom Truck TDC'!H28*(1-'Custom Truck TDC'!T28)*'Fixed Factors'!$D$3+'Custom Truck TDC'!H28*'Custom Truck TDC'!T28*'Fixed Factors'!$E$3)+(('Custom Truck TDC'!H28*(1-'Custom Truck TDC'!T28)*'Fixed Factors'!$D$8+'Custom Truck TDC'!H28*'Custom Truck TDC'!T28*'Fixed Factors'!$E$8)*'Fixed Factors'!$I$9)</f>
        <v>0</v>
      </c>
      <c r="C28" s="298">
        <f>('Custom Truck TDC'!I28*(1-'Custom Truck TDC'!U28)*'Fixed Factors'!$D$4+'Custom Truck TDC'!I28*'Custom Truck TDC'!U28*'Fixed Factors'!$E$4)+(('Custom Truck TDC'!I28*(1-'Custom Truck TDC'!U28)*'Fixed Factors'!$D$9+'Custom Truck TDC'!I28*'Custom Truck TDC'!U28*'Fixed Factors'!$E$9)*'Fixed Factors'!$I$9)</f>
        <v>0</v>
      </c>
      <c r="D28" s="298">
        <f>('Custom Truck TDC'!J28*(1-'Custom Truck TDC'!V28)*'Fixed Factors'!$D$5+'Custom Truck TDC'!J28*'Custom Truck TDC'!V28*'Fixed Factors'!$E$5)+(('Custom Truck TDC'!J28*(1-'Custom Truck TDC'!V28)*'Fixed Factors'!$D$10+'Custom Truck TDC'!J28*'Custom Truck TDC'!V28*'Fixed Factors'!$E$10)*'Fixed Factors'!$I$8)</f>
        <v>3677196.8751101485</v>
      </c>
      <c r="E28" s="298">
        <f>('Custom Truck TDC'!K28*(1-'Custom Truck TDC'!W28)*'Fixed Factors'!$D$3+'Custom Truck TDC'!K28*'Custom Truck TDC'!W28*'Fixed Factors'!$E$3)+(('Custom Truck TDC'!K28*(1-'Custom Truck TDC'!W28)*'Fixed Factors'!$D$8+'Custom Truck TDC'!K28*'Custom Truck TDC'!W28*'Fixed Factors'!$E$8)*'Fixed Factors'!$I$9)</f>
        <v>0</v>
      </c>
      <c r="F28" s="298">
        <f>('Custom Truck TDC'!L28*(1-'Custom Truck TDC'!X28)*'Fixed Factors'!$D$4+'Custom Truck TDC'!L28*'Custom Truck TDC'!X28*'Fixed Factors'!$E$4)+(('Custom Truck TDC'!L28*(1-'Custom Truck TDC'!X28)*'Fixed Factors'!$D$9+'Custom Truck TDC'!L28*'Custom Truck TDC'!X28*'Fixed Factors'!$E$9)*'Fixed Factors'!$I$9)</f>
        <v>0</v>
      </c>
      <c r="G28" s="298">
        <f>('Custom Truck TDC'!M28*(1-'Custom Truck TDC'!Y28)*'Fixed Factors'!$D$5+'Custom Truck TDC'!M28*'Custom Truck TDC'!Y28*'Fixed Factors'!$E$5)+(('Custom Truck TDC'!M28*(1-'Custom Truck TDC'!Y28)*'Fixed Factors'!$D$10+'Custom Truck TDC'!M28*'Custom Truck TDC'!Y28*'Fixed Factors'!$E$10)*'Fixed Factors'!$I$8)</f>
        <v>0</v>
      </c>
      <c r="H28" s="299">
        <f>'Custom Truck TDC'!N28*'Fixed Factors'!$I$13*'Fixed Factors'!$C$13</f>
        <v>0</v>
      </c>
      <c r="I28" s="299">
        <f>'Custom Truck TDC'!O28*'Fixed Factors'!$I$14*'Fixed Factors'!$C$14</f>
        <v>0</v>
      </c>
      <c r="J28" s="299">
        <f>'Custom Truck TDC'!P28*'Fixed Factors'!$I$15*'Fixed Factors'!$C$15</f>
        <v>1209258.2619718858</v>
      </c>
      <c r="K28" s="300">
        <f>'Custom Truck TDC'!Q28*'Fixed Factors'!$I$13*'Fixed Factors'!$C$13</f>
        <v>0</v>
      </c>
      <c r="L28" s="300">
        <f>'Custom Truck TDC'!R28*'Fixed Factors'!$I$14*'Fixed Factors'!$C$14</f>
        <v>0</v>
      </c>
      <c r="M28" s="300">
        <f>'Custom Truck TDC'!S28*'Fixed Factors'!$I$15*'Fixed Factors'!$C$15</f>
        <v>0</v>
      </c>
      <c r="N28" s="300">
        <f>'Custom Truck TDC'!P28*'Custom Truck Shipper-Logistics'!$I$5*'Custom Truck Shipper-Logistics'!$I$7*SUMPRODUCT('Custom Truck Shipper-Logistics'!$D$6:$D$48,'Custom Truck Shipper-Logistics'!$N$6:$N$48)</f>
        <v>3498291.3891676283</v>
      </c>
      <c r="O28" s="300">
        <f>'Custom Truck TDC'!S28*'Custom Truck Shipper-Logistics'!$I$5*'Custom Truck Shipper-Logistics'!$I$7*SUMPRODUCT('Custom Truck Shipper-Logistics'!$D$6:$D$48,'Custom Truck Shipper-Logistics'!$N$6:$N$48)</f>
        <v>0</v>
      </c>
      <c r="P28" s="299">
        <f>'Custom Truck TDC'!Z28*'Fixed Factors'!$D$13</f>
        <v>0</v>
      </c>
      <c r="Q28" s="299">
        <f>'Custom Truck TDC'!AA28*'Fixed Factors'!$D$14</f>
        <v>0</v>
      </c>
      <c r="R28" s="299">
        <f>'Custom Truck TDC'!AB28*'Fixed Factors'!$D$15</f>
        <v>72686.040644321474</v>
      </c>
      <c r="S28" s="299">
        <f>'Custom Truck TDC'!AC28*'Fixed Factors'!$D$13</f>
        <v>0</v>
      </c>
      <c r="T28" s="299">
        <f>'Custom Truck TDC'!AD28*'Fixed Factors'!$D$14</f>
        <v>0</v>
      </c>
      <c r="U28" s="299">
        <f>'Custom Truck TDC'!AE28*'Fixed Factors'!$D$15</f>
        <v>0</v>
      </c>
      <c r="V28" s="300">
        <f>'Custom Truck TDC'!AF28*'Fixed Factors'!$G$3</f>
        <v>265130.56735815766</v>
      </c>
      <c r="W28" s="300">
        <f>'Custom Truck TDC'!AG28*'Fixed Factors'!$H$3</f>
        <v>216255.15287365959</v>
      </c>
      <c r="X28" s="300">
        <f>'Custom Truck TDC'!AH28*'Fixed Factors'!$I$3</f>
        <v>19479.561287454817</v>
      </c>
      <c r="Y28" s="300">
        <f>'Custom Truck TDC'!AI28*'Fixed Factors'!$G$3</f>
        <v>0</v>
      </c>
      <c r="Z28" s="300">
        <f>'Custom Truck TDC'!AJ28*'Fixed Factors'!$H$3</f>
        <v>0</v>
      </c>
      <c r="AA28" s="300">
        <f>'Custom Truck TDC'!AK28*'Fixed Factors'!$I$3</f>
        <v>0</v>
      </c>
      <c r="AB28" s="300">
        <f>'Custom Truck TDC'!H28*'Custom Truck TDC'!T28*'Fixed Factors'!$E$29+'Custom Truck TDC'!H28*(1-'Custom Truck TDC'!T28)*'Fixed Factors'!$D$29</f>
        <v>0</v>
      </c>
      <c r="AC28" s="300">
        <f>'Custom Truck TDC'!I28*'Custom Truck TDC'!U28*'Fixed Factors'!$E$30+'Custom Truck TDC'!I28*(1-'Custom Truck TDC'!U28)*'Fixed Factors'!$D$30</f>
        <v>0</v>
      </c>
      <c r="AD28" s="300">
        <f>'Custom Truck TDC'!J28*'Custom Truck TDC'!V28*'Fixed Factors'!$E$31+'Custom Truck TDC'!J28*(1-'Custom Truck TDC'!V28)*'Fixed Factors'!$D$31</f>
        <v>540532.05556099466</v>
      </c>
      <c r="AE28" s="300">
        <f>'Custom Truck TDC'!K28*'Custom Truck TDC'!W28*'Fixed Factors'!$E$29+'Custom Truck TDC'!K28*(1-'Custom Truck TDC'!W28)*'Fixed Factors'!$D$29</f>
        <v>0</v>
      </c>
      <c r="AF28" s="300">
        <f>'Custom Truck TDC'!L28*'Custom Truck TDC'!X28*'Fixed Factors'!$E$30+'Custom Truck TDC'!L28*(1-'Custom Truck TDC'!X28)*'Fixed Factors'!$D$30</f>
        <v>0</v>
      </c>
      <c r="AG28" s="300">
        <f>'Custom Truck TDC'!M28*'Custom Truck TDC'!Y28*'Fixed Factors'!$E$31+'Custom Truck TDC'!M28*(1-'Custom Truck TDC'!Y28)*'Fixed Factors'!$D$31</f>
        <v>0</v>
      </c>
    </row>
    <row r="29" spans="1:33" x14ac:dyDescent="0.25">
      <c r="A29" s="70">
        <f>'Custom Truck TDC'!A29</f>
        <v>2042</v>
      </c>
      <c r="B29" s="298">
        <f>('Custom Truck TDC'!H29*(1-'Custom Truck TDC'!T29)*'Fixed Factors'!$D$3+'Custom Truck TDC'!H29*'Custom Truck TDC'!T29*'Fixed Factors'!$E$3)+(('Custom Truck TDC'!H29*(1-'Custom Truck TDC'!T29)*'Fixed Factors'!$D$8+'Custom Truck TDC'!H29*'Custom Truck TDC'!T29*'Fixed Factors'!$E$8)*'Fixed Factors'!$I$9)</f>
        <v>0</v>
      </c>
      <c r="C29" s="298">
        <f>('Custom Truck TDC'!I29*(1-'Custom Truck TDC'!U29)*'Fixed Factors'!$D$4+'Custom Truck TDC'!I29*'Custom Truck TDC'!U29*'Fixed Factors'!$E$4)+(('Custom Truck TDC'!I29*(1-'Custom Truck TDC'!U29)*'Fixed Factors'!$D$9+'Custom Truck TDC'!I29*'Custom Truck TDC'!U29*'Fixed Factors'!$E$9)*'Fixed Factors'!$I$9)</f>
        <v>0</v>
      </c>
      <c r="D29" s="298">
        <f>('Custom Truck TDC'!J29*(1-'Custom Truck TDC'!V29)*'Fixed Factors'!$D$5+'Custom Truck TDC'!J29*'Custom Truck TDC'!V29*'Fixed Factors'!$E$5)+(('Custom Truck TDC'!J29*(1-'Custom Truck TDC'!V29)*'Fixed Factors'!$D$10+'Custom Truck TDC'!J29*'Custom Truck TDC'!V29*'Fixed Factors'!$E$10)*'Fixed Factors'!$I$8)</f>
        <v>3747807.9992863387</v>
      </c>
      <c r="E29" s="298">
        <f>('Custom Truck TDC'!K29*(1-'Custom Truck TDC'!W29)*'Fixed Factors'!$D$3+'Custom Truck TDC'!K29*'Custom Truck TDC'!W29*'Fixed Factors'!$E$3)+(('Custom Truck TDC'!K29*(1-'Custom Truck TDC'!W29)*'Fixed Factors'!$D$8+'Custom Truck TDC'!K29*'Custom Truck TDC'!W29*'Fixed Factors'!$E$8)*'Fixed Factors'!$I$9)</f>
        <v>0</v>
      </c>
      <c r="F29" s="298">
        <f>('Custom Truck TDC'!L29*(1-'Custom Truck TDC'!X29)*'Fixed Factors'!$D$4+'Custom Truck TDC'!L29*'Custom Truck TDC'!X29*'Fixed Factors'!$E$4)+(('Custom Truck TDC'!L29*(1-'Custom Truck TDC'!X29)*'Fixed Factors'!$D$9+'Custom Truck TDC'!L29*'Custom Truck TDC'!X29*'Fixed Factors'!$E$9)*'Fixed Factors'!$I$9)</f>
        <v>0</v>
      </c>
      <c r="G29" s="298">
        <f>('Custom Truck TDC'!M29*(1-'Custom Truck TDC'!Y29)*'Fixed Factors'!$D$5+'Custom Truck TDC'!M29*'Custom Truck TDC'!Y29*'Fixed Factors'!$E$5)+(('Custom Truck TDC'!M29*(1-'Custom Truck TDC'!Y29)*'Fixed Factors'!$D$10+'Custom Truck TDC'!M29*'Custom Truck TDC'!Y29*'Fixed Factors'!$E$10)*'Fixed Factors'!$I$8)</f>
        <v>0</v>
      </c>
      <c r="H29" s="299">
        <f>'Custom Truck TDC'!N29*'Fixed Factors'!$I$13*'Fixed Factors'!$C$13</f>
        <v>0</v>
      </c>
      <c r="I29" s="299">
        <f>'Custom Truck TDC'!O29*'Fixed Factors'!$I$14*'Fixed Factors'!$C$14</f>
        <v>0</v>
      </c>
      <c r="J29" s="299">
        <f>'Custom Truck TDC'!P29*'Fixed Factors'!$I$15*'Fixed Factors'!$C$15</f>
        <v>1232478.9619227478</v>
      </c>
      <c r="K29" s="300">
        <f>'Custom Truck TDC'!Q29*'Fixed Factors'!$I$13*'Fixed Factors'!$C$13</f>
        <v>0</v>
      </c>
      <c r="L29" s="300">
        <f>'Custom Truck TDC'!R29*'Fixed Factors'!$I$14*'Fixed Factors'!$C$14</f>
        <v>0</v>
      </c>
      <c r="M29" s="300">
        <f>'Custom Truck TDC'!S29*'Fixed Factors'!$I$15*'Fixed Factors'!$C$15</f>
        <v>0</v>
      </c>
      <c r="N29" s="300">
        <f>'Custom Truck TDC'!P29*'Custom Truck Shipper-Logistics'!$I$5*'Custom Truck Shipper-Logistics'!$I$7*SUMPRODUCT('Custom Truck Shipper-Logistics'!$D$6:$D$48,'Custom Truck Shipper-Logistics'!$N$6:$N$48)</f>
        <v>3565467.0928556747</v>
      </c>
      <c r="O29" s="300">
        <f>'Custom Truck TDC'!S29*'Custom Truck Shipper-Logistics'!$I$5*'Custom Truck Shipper-Logistics'!$I$7*SUMPRODUCT('Custom Truck Shipper-Logistics'!$D$6:$D$48,'Custom Truck Shipper-Logistics'!$N$6:$N$48)</f>
        <v>0</v>
      </c>
      <c r="P29" s="299">
        <f>'Custom Truck TDC'!Z29*'Fixed Factors'!$D$13</f>
        <v>0</v>
      </c>
      <c r="Q29" s="299">
        <f>'Custom Truck TDC'!AA29*'Fixed Factors'!$D$14</f>
        <v>0</v>
      </c>
      <c r="R29" s="299">
        <f>'Custom Truck TDC'!AB29*'Fixed Factors'!$D$15</f>
        <v>74081.789421481517</v>
      </c>
      <c r="S29" s="299">
        <f>'Custom Truck TDC'!AC29*'Fixed Factors'!$D$13</f>
        <v>0</v>
      </c>
      <c r="T29" s="299">
        <f>'Custom Truck TDC'!AD29*'Fixed Factors'!$D$14</f>
        <v>0</v>
      </c>
      <c r="U29" s="299">
        <f>'Custom Truck TDC'!AE29*'Fixed Factors'!$D$15</f>
        <v>0</v>
      </c>
      <c r="V29" s="300">
        <f>'Custom Truck TDC'!AF29*'Fixed Factors'!$G$3</f>
        <v>270221.71913775057</v>
      </c>
      <c r="W29" s="300">
        <f>'Custom Truck TDC'!AG29*'Fixed Factors'!$H$3</f>
        <v>220407.77781377669</v>
      </c>
      <c r="X29" s="300">
        <f>'Custom Truck TDC'!AH29*'Fixed Factors'!$I$3</f>
        <v>19853.616244989546</v>
      </c>
      <c r="Y29" s="300">
        <f>'Custom Truck TDC'!AI29*'Fixed Factors'!$G$3</f>
        <v>0</v>
      </c>
      <c r="Z29" s="300">
        <f>'Custom Truck TDC'!AJ29*'Fixed Factors'!$H$3</f>
        <v>0</v>
      </c>
      <c r="AA29" s="300">
        <f>'Custom Truck TDC'!AK29*'Fixed Factors'!$I$3</f>
        <v>0</v>
      </c>
      <c r="AB29" s="300">
        <f>'Custom Truck TDC'!H29*'Custom Truck TDC'!T29*'Fixed Factors'!$E$29+'Custom Truck TDC'!H29*(1-'Custom Truck TDC'!T29)*'Fixed Factors'!$D$29</f>
        <v>0</v>
      </c>
      <c r="AC29" s="300">
        <f>'Custom Truck TDC'!I29*'Custom Truck TDC'!U29*'Fixed Factors'!$E$30+'Custom Truck TDC'!I29*(1-'Custom Truck TDC'!U29)*'Fixed Factors'!$D$30</f>
        <v>0</v>
      </c>
      <c r="AD29" s="300">
        <f>'Custom Truck TDC'!J29*'Custom Truck TDC'!V29*'Fixed Factors'!$E$31+'Custom Truck TDC'!J29*(1-'Custom Truck TDC'!V29)*'Fixed Factors'!$D$31</f>
        <v>550911.58578271687</v>
      </c>
      <c r="AE29" s="300">
        <f>'Custom Truck TDC'!K29*'Custom Truck TDC'!W29*'Fixed Factors'!$E$29+'Custom Truck TDC'!K29*(1-'Custom Truck TDC'!W29)*'Fixed Factors'!$D$29</f>
        <v>0</v>
      </c>
      <c r="AF29" s="300">
        <f>'Custom Truck TDC'!L29*'Custom Truck TDC'!X29*'Fixed Factors'!$E$30+'Custom Truck TDC'!L29*(1-'Custom Truck TDC'!X29)*'Fixed Factors'!$D$30</f>
        <v>0</v>
      </c>
      <c r="AG29" s="300">
        <f>'Custom Truck TDC'!M29*'Custom Truck TDC'!Y29*'Fixed Factors'!$E$31+'Custom Truck TDC'!M29*(1-'Custom Truck TDC'!Y29)*'Fixed Factors'!$D$31</f>
        <v>0</v>
      </c>
    </row>
    <row r="30" spans="1:33" x14ac:dyDescent="0.25">
      <c r="A30" s="70">
        <f>'Custom Truck TDC'!A30</f>
        <v>2043</v>
      </c>
      <c r="B30" s="298">
        <f>('Custom Truck TDC'!H30*(1-'Custom Truck TDC'!T30)*'Fixed Factors'!$D$3+'Custom Truck TDC'!H30*'Custom Truck TDC'!T30*'Fixed Factors'!$E$3)+(('Custom Truck TDC'!H30*(1-'Custom Truck TDC'!T30)*'Fixed Factors'!$D$8+'Custom Truck TDC'!H30*'Custom Truck TDC'!T30*'Fixed Factors'!$E$8)*'Fixed Factors'!$I$9)</f>
        <v>0</v>
      </c>
      <c r="C30" s="298">
        <f>('Custom Truck TDC'!I30*(1-'Custom Truck TDC'!U30)*'Fixed Factors'!$D$4+'Custom Truck TDC'!I30*'Custom Truck TDC'!U30*'Fixed Factors'!$E$4)+(('Custom Truck TDC'!I30*(1-'Custom Truck TDC'!U30)*'Fixed Factors'!$D$9+'Custom Truck TDC'!I30*'Custom Truck TDC'!U30*'Fixed Factors'!$E$9)*'Fixed Factors'!$I$9)</f>
        <v>0</v>
      </c>
      <c r="D30" s="298">
        <f>('Custom Truck TDC'!J30*(1-'Custom Truck TDC'!V30)*'Fixed Factors'!$D$5+'Custom Truck TDC'!J30*'Custom Truck TDC'!V30*'Fixed Factors'!$E$5)+(('Custom Truck TDC'!J30*(1-'Custom Truck TDC'!V30)*'Fixed Factors'!$D$10+'Custom Truck TDC'!J30*'Custom Truck TDC'!V30*'Fixed Factors'!$E$10)*'Fixed Factors'!$I$8)</f>
        <v>3819775.0287966081</v>
      </c>
      <c r="E30" s="298">
        <f>('Custom Truck TDC'!K30*(1-'Custom Truck TDC'!W30)*'Fixed Factors'!$D$3+'Custom Truck TDC'!K30*'Custom Truck TDC'!W30*'Fixed Factors'!$E$3)+(('Custom Truck TDC'!K30*(1-'Custom Truck TDC'!W30)*'Fixed Factors'!$D$8+'Custom Truck TDC'!K30*'Custom Truck TDC'!W30*'Fixed Factors'!$E$8)*'Fixed Factors'!$I$9)</f>
        <v>0</v>
      </c>
      <c r="F30" s="298">
        <f>('Custom Truck TDC'!L30*(1-'Custom Truck TDC'!X30)*'Fixed Factors'!$D$4+'Custom Truck TDC'!L30*'Custom Truck TDC'!X30*'Fixed Factors'!$E$4)+(('Custom Truck TDC'!L30*(1-'Custom Truck TDC'!X30)*'Fixed Factors'!$D$9+'Custom Truck TDC'!L30*'Custom Truck TDC'!X30*'Fixed Factors'!$E$9)*'Fixed Factors'!$I$9)</f>
        <v>0</v>
      </c>
      <c r="G30" s="298">
        <f>('Custom Truck TDC'!M30*(1-'Custom Truck TDC'!Y30)*'Fixed Factors'!$D$5+'Custom Truck TDC'!M30*'Custom Truck TDC'!Y30*'Fixed Factors'!$E$5)+(('Custom Truck TDC'!M30*(1-'Custom Truck TDC'!Y30)*'Fixed Factors'!$D$10+'Custom Truck TDC'!M30*'Custom Truck TDC'!Y30*'Fixed Factors'!$E$10)*'Fixed Factors'!$I$8)</f>
        <v>0</v>
      </c>
      <c r="H30" s="299">
        <f>'Custom Truck TDC'!N30*'Fixed Factors'!$I$13*'Fixed Factors'!$C$13</f>
        <v>0</v>
      </c>
      <c r="I30" s="299">
        <f>'Custom Truck TDC'!O30*'Fixed Factors'!$I$14*'Fixed Factors'!$C$14</f>
        <v>0</v>
      </c>
      <c r="J30" s="299">
        <f>'Custom Truck TDC'!P30*'Fixed Factors'!$I$15*'Fixed Factors'!$C$15</f>
        <v>1256145.5557931839</v>
      </c>
      <c r="K30" s="300">
        <f>'Custom Truck TDC'!Q30*'Fixed Factors'!$I$13*'Fixed Factors'!$C$13</f>
        <v>0</v>
      </c>
      <c r="L30" s="300">
        <f>'Custom Truck TDC'!R30*'Fixed Factors'!$I$14*'Fixed Factors'!$C$14</f>
        <v>0</v>
      </c>
      <c r="M30" s="300">
        <f>'Custom Truck TDC'!S30*'Fixed Factors'!$I$15*'Fixed Factors'!$C$15</f>
        <v>0</v>
      </c>
      <c r="N30" s="300">
        <f>'Custom Truck TDC'!P30*'Custom Truck Shipper-Logistics'!$I$5*'Custom Truck Shipper-Logistics'!$I$7*SUMPRODUCT('Custom Truck Shipper-Logistics'!$D$6:$D$48,'Custom Truck Shipper-Logistics'!$N$6:$N$48)</f>
        <v>3633932.7334483368</v>
      </c>
      <c r="O30" s="300">
        <f>'Custom Truck TDC'!S30*'Custom Truck Shipper-Logistics'!$I$5*'Custom Truck Shipper-Logistics'!$I$7*SUMPRODUCT('Custom Truck Shipper-Logistics'!$D$6:$D$48,'Custom Truck Shipper-Logistics'!$N$6:$N$48)</f>
        <v>0</v>
      </c>
      <c r="P30" s="299">
        <f>'Custom Truck TDC'!Z30*'Fixed Factors'!$D$13</f>
        <v>0</v>
      </c>
      <c r="Q30" s="299">
        <f>'Custom Truck TDC'!AA30*'Fixed Factors'!$D$14</f>
        <v>0</v>
      </c>
      <c r="R30" s="299">
        <f>'Custom Truck TDC'!AB30*'Fixed Factors'!$D$15</f>
        <v>75504.339970091431</v>
      </c>
      <c r="S30" s="299">
        <f>'Custom Truck TDC'!AC30*'Fixed Factors'!$D$13</f>
        <v>0</v>
      </c>
      <c r="T30" s="299">
        <f>'Custom Truck TDC'!AD30*'Fixed Factors'!$D$14</f>
        <v>0</v>
      </c>
      <c r="U30" s="299">
        <f>'Custom Truck TDC'!AE30*'Fixed Factors'!$D$15</f>
        <v>0</v>
      </c>
      <c r="V30" s="300">
        <f>'Custom Truck TDC'!AF30*'Fixed Factors'!$G$3</f>
        <v>275410.63341489749</v>
      </c>
      <c r="W30" s="300">
        <f>'Custom Truck TDC'!AG30*'Fixed Factors'!$H$3</f>
        <v>224640.14325331827</v>
      </c>
      <c r="X30" s="300">
        <f>'Custom Truck TDC'!AH30*'Fixed Factors'!$I$3</f>
        <v>20234.853967535848</v>
      </c>
      <c r="Y30" s="300">
        <f>'Custom Truck TDC'!AI30*'Fixed Factors'!$G$3</f>
        <v>0</v>
      </c>
      <c r="Z30" s="300">
        <f>'Custom Truck TDC'!AJ30*'Fixed Factors'!$H$3</f>
        <v>0</v>
      </c>
      <c r="AA30" s="300">
        <f>'Custom Truck TDC'!AK30*'Fixed Factors'!$I$3</f>
        <v>0</v>
      </c>
      <c r="AB30" s="300">
        <f>'Custom Truck TDC'!H30*'Custom Truck TDC'!T30*'Fixed Factors'!$E$29+'Custom Truck TDC'!H30*(1-'Custom Truck TDC'!T30)*'Fixed Factors'!$D$29</f>
        <v>0</v>
      </c>
      <c r="AC30" s="300">
        <f>'Custom Truck TDC'!I30*'Custom Truck TDC'!U30*'Fixed Factors'!$E$30+'Custom Truck TDC'!I30*(1-'Custom Truck TDC'!U30)*'Fixed Factors'!$D$30</f>
        <v>0</v>
      </c>
      <c r="AD30" s="300">
        <f>'Custom Truck TDC'!J30*'Custom Truck TDC'!V30*'Fixed Factors'!$E$31+'Custom Truck TDC'!J30*(1-'Custom Truck TDC'!V30)*'Fixed Factors'!$D$31</f>
        <v>561490.42823118914</v>
      </c>
      <c r="AE30" s="300">
        <f>'Custom Truck TDC'!K30*'Custom Truck TDC'!W30*'Fixed Factors'!$E$29+'Custom Truck TDC'!K30*(1-'Custom Truck TDC'!W30)*'Fixed Factors'!$D$29</f>
        <v>0</v>
      </c>
      <c r="AF30" s="300">
        <f>'Custom Truck TDC'!L30*'Custom Truck TDC'!X30*'Fixed Factors'!$E$30+'Custom Truck TDC'!L30*(1-'Custom Truck TDC'!X30)*'Fixed Factors'!$D$30</f>
        <v>0</v>
      </c>
      <c r="AG30" s="300">
        <f>'Custom Truck TDC'!M30*'Custom Truck TDC'!Y30*'Fixed Factors'!$E$31+'Custom Truck TDC'!M30*(1-'Custom Truck TDC'!Y30)*'Fixed Factors'!$D$31</f>
        <v>0</v>
      </c>
    </row>
    <row r="31" spans="1:33" x14ac:dyDescent="0.25">
      <c r="A31" s="70">
        <f>'Custom Truck TDC'!A31</f>
        <v>2044</v>
      </c>
      <c r="B31" s="298">
        <f>('Custom Truck TDC'!H31*(1-'Custom Truck TDC'!T31)*'Fixed Factors'!$D$3+'Custom Truck TDC'!H31*'Custom Truck TDC'!T31*'Fixed Factors'!$E$3)+(('Custom Truck TDC'!H31*(1-'Custom Truck TDC'!T31)*'Fixed Factors'!$D$8+'Custom Truck TDC'!H31*'Custom Truck TDC'!T31*'Fixed Factors'!$E$8)*'Fixed Factors'!$I$9)</f>
        <v>0</v>
      </c>
      <c r="C31" s="298">
        <f>('Custom Truck TDC'!I31*(1-'Custom Truck TDC'!U31)*'Fixed Factors'!$D$4+'Custom Truck TDC'!I31*'Custom Truck TDC'!U31*'Fixed Factors'!$E$4)+(('Custom Truck TDC'!I31*(1-'Custom Truck TDC'!U31)*'Fixed Factors'!$D$9+'Custom Truck TDC'!I31*'Custom Truck TDC'!U31*'Fixed Factors'!$E$9)*'Fixed Factors'!$I$9)</f>
        <v>0</v>
      </c>
      <c r="D31" s="298">
        <f>('Custom Truck TDC'!J31*(1-'Custom Truck TDC'!V31)*'Fixed Factors'!$D$5+'Custom Truck TDC'!J31*'Custom Truck TDC'!V31*'Fixed Factors'!$E$5)+(('Custom Truck TDC'!J31*(1-'Custom Truck TDC'!V31)*'Fixed Factors'!$D$10+'Custom Truck TDC'!J31*'Custom Truck TDC'!V31*'Fixed Factors'!$E$10)*'Fixed Factors'!$I$8)</f>
        <v>3893124.0003213882</v>
      </c>
      <c r="E31" s="298">
        <f>('Custom Truck TDC'!K31*(1-'Custom Truck TDC'!W31)*'Fixed Factors'!$D$3+'Custom Truck TDC'!K31*'Custom Truck TDC'!W31*'Fixed Factors'!$E$3)+(('Custom Truck TDC'!K31*(1-'Custom Truck TDC'!W31)*'Fixed Factors'!$D$8+'Custom Truck TDC'!K31*'Custom Truck TDC'!W31*'Fixed Factors'!$E$8)*'Fixed Factors'!$I$9)</f>
        <v>0</v>
      </c>
      <c r="F31" s="298">
        <f>('Custom Truck TDC'!L31*(1-'Custom Truck TDC'!X31)*'Fixed Factors'!$D$4+'Custom Truck TDC'!L31*'Custom Truck TDC'!X31*'Fixed Factors'!$E$4)+(('Custom Truck TDC'!L31*(1-'Custom Truck TDC'!X31)*'Fixed Factors'!$D$9+'Custom Truck TDC'!L31*'Custom Truck TDC'!X31*'Fixed Factors'!$E$9)*'Fixed Factors'!$I$9)</f>
        <v>0</v>
      </c>
      <c r="G31" s="298">
        <f>('Custom Truck TDC'!M31*(1-'Custom Truck TDC'!Y31)*'Fixed Factors'!$D$5+'Custom Truck TDC'!M31*'Custom Truck TDC'!Y31*'Fixed Factors'!$E$5)+(('Custom Truck TDC'!M31*(1-'Custom Truck TDC'!Y31)*'Fixed Factors'!$D$10+'Custom Truck TDC'!M31*'Custom Truck TDC'!Y31*'Fixed Factors'!$E$10)*'Fixed Factors'!$I$8)</f>
        <v>0</v>
      </c>
      <c r="H31" s="299">
        <f>'Custom Truck TDC'!N31*'Fixed Factors'!$I$13*'Fixed Factors'!$C$13</f>
        <v>0</v>
      </c>
      <c r="I31" s="299">
        <f>'Custom Truck TDC'!O31*'Fixed Factors'!$I$14*'Fixed Factors'!$C$14</f>
        <v>0</v>
      </c>
      <c r="J31" s="299">
        <f>'Custom Truck TDC'!P31*'Fixed Factors'!$I$15*'Fixed Factors'!$C$15</f>
        <v>1280266.6058310133</v>
      </c>
      <c r="K31" s="300">
        <f>'Custom Truck TDC'!Q31*'Fixed Factors'!$I$13*'Fixed Factors'!$C$13</f>
        <v>0</v>
      </c>
      <c r="L31" s="300">
        <f>'Custom Truck TDC'!R31*'Fixed Factors'!$I$14*'Fixed Factors'!$C$14</f>
        <v>0</v>
      </c>
      <c r="M31" s="300">
        <f>'Custom Truck TDC'!S31*'Fixed Factors'!$I$15*'Fixed Factors'!$C$15</f>
        <v>0</v>
      </c>
      <c r="N31" s="300">
        <f>'Custom Truck TDC'!P31*'Custom Truck Shipper-Logistics'!$I$5*'Custom Truck Shipper-Logistics'!$I$7*SUMPRODUCT('Custom Truck Shipper-Logistics'!$D$6:$D$48,'Custom Truck Shipper-Logistics'!$N$6:$N$48)</f>
        <v>3703713.0808717399</v>
      </c>
      <c r="O31" s="300">
        <f>'Custom Truck TDC'!S31*'Custom Truck Shipper-Logistics'!$I$5*'Custom Truck Shipper-Logistics'!$I$7*SUMPRODUCT('Custom Truck Shipper-Logistics'!$D$6:$D$48,'Custom Truck Shipper-Logistics'!$N$6:$N$48)</f>
        <v>0</v>
      </c>
      <c r="P31" s="299">
        <f>'Custom Truck TDC'!Z31*'Fixed Factors'!$D$13</f>
        <v>0</v>
      </c>
      <c r="Q31" s="299">
        <f>'Custom Truck TDC'!AA31*'Fixed Factors'!$D$14</f>
        <v>0</v>
      </c>
      <c r="R31" s="299">
        <f>'Custom Truck TDC'!AB31*'Fixed Factors'!$D$15</f>
        <v>76954.206949353902</v>
      </c>
      <c r="S31" s="299">
        <f>'Custom Truck TDC'!AC31*'Fixed Factors'!$D$13</f>
        <v>0</v>
      </c>
      <c r="T31" s="299">
        <f>'Custom Truck TDC'!AD31*'Fixed Factors'!$D$14</f>
        <v>0</v>
      </c>
      <c r="U31" s="299">
        <f>'Custom Truck TDC'!AE31*'Fixed Factors'!$D$15</f>
        <v>0</v>
      </c>
      <c r="V31" s="300">
        <f>'Custom Truck TDC'!AF31*'Fixed Factors'!$G$3</f>
        <v>280699.18746734265</v>
      </c>
      <c r="W31" s="300">
        <f>'Custom Truck TDC'!AG31*'Fixed Factors'!$H$3</f>
        <v>228953.78040382898</v>
      </c>
      <c r="X31" s="300">
        <f>'Custom Truck TDC'!AH31*'Fixed Factors'!$I$3</f>
        <v>20623.412381652837</v>
      </c>
      <c r="Y31" s="300">
        <f>'Custom Truck TDC'!AI31*'Fixed Factors'!$G$3</f>
        <v>0</v>
      </c>
      <c r="Z31" s="300">
        <f>'Custom Truck TDC'!AJ31*'Fixed Factors'!$H$3</f>
        <v>0</v>
      </c>
      <c r="AA31" s="300">
        <f>'Custom Truck TDC'!AK31*'Fixed Factors'!$I$3</f>
        <v>0</v>
      </c>
      <c r="AB31" s="300">
        <f>'Custom Truck TDC'!H31*'Custom Truck TDC'!T31*'Fixed Factors'!$E$29+'Custom Truck TDC'!H31*(1-'Custom Truck TDC'!T31)*'Fixed Factors'!$D$29</f>
        <v>0</v>
      </c>
      <c r="AC31" s="300">
        <f>'Custom Truck TDC'!I31*'Custom Truck TDC'!U31*'Fixed Factors'!$E$30+'Custom Truck TDC'!I31*(1-'Custom Truck TDC'!U31)*'Fixed Factors'!$D$30</f>
        <v>0</v>
      </c>
      <c r="AD31" s="300">
        <f>'Custom Truck TDC'!J31*'Custom Truck TDC'!V31*'Fixed Factors'!$E$31+'Custom Truck TDC'!J31*(1-'Custom Truck TDC'!V31)*'Fixed Factors'!$D$31</f>
        <v>572272.41018595919</v>
      </c>
      <c r="AE31" s="300">
        <f>'Custom Truck TDC'!K31*'Custom Truck TDC'!W31*'Fixed Factors'!$E$29+'Custom Truck TDC'!K31*(1-'Custom Truck TDC'!W31)*'Fixed Factors'!$D$29</f>
        <v>0</v>
      </c>
      <c r="AF31" s="300">
        <f>'Custom Truck TDC'!L31*'Custom Truck TDC'!X31*'Fixed Factors'!$E$30+'Custom Truck TDC'!L31*(1-'Custom Truck TDC'!X31)*'Fixed Factors'!$D$30</f>
        <v>0</v>
      </c>
      <c r="AG31" s="300">
        <f>'Custom Truck TDC'!M31*'Custom Truck TDC'!Y31*'Fixed Factors'!$E$31+'Custom Truck TDC'!M31*(1-'Custom Truck TDC'!Y31)*'Fixed Factors'!$D$31</f>
        <v>0</v>
      </c>
    </row>
    <row r="33" spans="12:20" x14ac:dyDescent="0.25">
      <c r="L33" s="110"/>
      <c r="T33" s="110"/>
    </row>
    <row r="34" spans="12:20" x14ac:dyDescent="0.25">
      <c r="L34" s="110"/>
    </row>
    <row r="35" spans="12:20" x14ac:dyDescent="0.25">
      <c r="L35" s="110"/>
    </row>
    <row r="36" spans="12:20" x14ac:dyDescent="0.25">
      <c r="L36" s="110"/>
    </row>
    <row r="37" spans="12:20" x14ac:dyDescent="0.25">
      <c r="L37" s="110"/>
    </row>
    <row r="38" spans="12:20" x14ac:dyDescent="0.25">
      <c r="L38" s="110"/>
    </row>
    <row r="39" spans="12:20" x14ac:dyDescent="0.25">
      <c r="L39" s="110"/>
    </row>
    <row r="40" spans="12:20" x14ac:dyDescent="0.25">
      <c r="L40" s="110"/>
    </row>
    <row r="41" spans="12:20" x14ac:dyDescent="0.25">
      <c r="L41" s="110"/>
    </row>
    <row r="42" spans="12:20" x14ac:dyDescent="0.25">
      <c r="L42" s="110"/>
    </row>
    <row r="43" spans="12:20" x14ac:dyDescent="0.25">
      <c r="L43" s="110"/>
    </row>
    <row r="44" spans="12:20" x14ac:dyDescent="0.25">
      <c r="L44" s="110"/>
    </row>
    <row r="45" spans="12:20" x14ac:dyDescent="0.25">
      <c r="L45" s="110"/>
    </row>
    <row r="46" spans="12:20" x14ac:dyDescent="0.25">
      <c r="L46" s="110"/>
    </row>
    <row r="47" spans="12:20" x14ac:dyDescent="0.25">
      <c r="L47" s="110"/>
    </row>
    <row r="48" spans="12:20" x14ac:dyDescent="0.25">
      <c r="L48" s="110"/>
    </row>
    <row r="49" spans="12:12" x14ac:dyDescent="0.25">
      <c r="L49" s="110"/>
    </row>
    <row r="50" spans="12:12" x14ac:dyDescent="0.25">
      <c r="L50" s="110"/>
    </row>
    <row r="51" spans="12:12" x14ac:dyDescent="0.25">
      <c r="L51" s="110"/>
    </row>
    <row r="52" spans="12:12" x14ac:dyDescent="0.25">
      <c r="L52" s="110"/>
    </row>
    <row r="53" spans="12:12" x14ac:dyDescent="0.25">
      <c r="L53" s="110"/>
    </row>
    <row r="54" spans="12:12" x14ac:dyDescent="0.25">
      <c r="L54" s="110"/>
    </row>
    <row r="55" spans="12:12" x14ac:dyDescent="0.25">
      <c r="L55" s="110"/>
    </row>
    <row r="56" spans="12:12" x14ac:dyDescent="0.25">
      <c r="L56" s="110"/>
    </row>
    <row r="57" spans="12:12" x14ac:dyDescent="0.25">
      <c r="L57" s="110"/>
    </row>
    <row r="58" spans="12:12" x14ac:dyDescent="0.25">
      <c r="L58" s="110"/>
    </row>
    <row r="59" spans="12:12" x14ac:dyDescent="0.25">
      <c r="L59" s="110"/>
    </row>
    <row r="60" spans="12:12" x14ac:dyDescent="0.25">
      <c r="L60" s="110"/>
    </row>
    <row r="61" spans="12:12" x14ac:dyDescent="0.25">
      <c r="L61" s="110"/>
    </row>
    <row r="62" spans="12:12" x14ac:dyDescent="0.25">
      <c r="L62" s="110"/>
    </row>
    <row r="63" spans="12:12" x14ac:dyDescent="0.25">
      <c r="L63" s="110"/>
    </row>
    <row r="64" spans="12:12" x14ac:dyDescent="0.25">
      <c r="L64" s="110"/>
    </row>
    <row r="65" spans="12:12" x14ac:dyDescent="0.25">
      <c r="L65" s="110"/>
    </row>
    <row r="66" spans="12:12" x14ac:dyDescent="0.25">
      <c r="L66" s="110"/>
    </row>
    <row r="67" spans="12:12" x14ac:dyDescent="0.25">
      <c r="L67" s="110"/>
    </row>
    <row r="68" spans="12:12" x14ac:dyDescent="0.25">
      <c r="L68" s="110"/>
    </row>
    <row r="69" spans="12:12" x14ac:dyDescent="0.25">
      <c r="L69" s="110"/>
    </row>
    <row r="70" spans="12:12" x14ac:dyDescent="0.25">
      <c r="L70" s="110"/>
    </row>
    <row r="71" spans="12:12" x14ac:dyDescent="0.25">
      <c r="L71" s="110"/>
    </row>
    <row r="72" spans="12:12" x14ac:dyDescent="0.25">
      <c r="L72" s="110"/>
    </row>
    <row r="73" spans="12:12" x14ac:dyDescent="0.25">
      <c r="L73" s="110"/>
    </row>
    <row r="74" spans="12:12" x14ac:dyDescent="0.25">
      <c r="L74" s="110"/>
    </row>
    <row r="75" spans="12:12" x14ac:dyDescent="0.25">
      <c r="L75" s="110"/>
    </row>
    <row r="76" spans="12:12" x14ac:dyDescent="0.25">
      <c r="L76" s="110"/>
    </row>
    <row r="77" spans="12:12" x14ac:dyDescent="0.25">
      <c r="L77" s="110"/>
    </row>
    <row r="78" spans="12:12" x14ac:dyDescent="0.25">
      <c r="L78" s="110"/>
    </row>
    <row r="79" spans="12:12" x14ac:dyDescent="0.25">
      <c r="L79" s="110"/>
    </row>
    <row r="80" spans="12:12" x14ac:dyDescent="0.25">
      <c r="L80" s="110"/>
    </row>
    <row r="81" spans="12:12" x14ac:dyDescent="0.25">
      <c r="L81" s="110"/>
    </row>
    <row r="82" spans="12:12" x14ac:dyDescent="0.25">
      <c r="L82" s="110"/>
    </row>
    <row r="83" spans="12:12" x14ac:dyDescent="0.25">
      <c r="L83" s="110"/>
    </row>
    <row r="84" spans="12:12" x14ac:dyDescent="0.25">
      <c r="L84" s="110"/>
    </row>
    <row r="85" spans="12:12" x14ac:dyDescent="0.25">
      <c r="L85" s="110"/>
    </row>
    <row r="86" spans="12:12" x14ac:dyDescent="0.25">
      <c r="L86" s="110"/>
    </row>
    <row r="87" spans="12:12" x14ac:dyDescent="0.25">
      <c r="L87" s="110"/>
    </row>
    <row r="88" spans="12:12" x14ac:dyDescent="0.25">
      <c r="L88" s="110"/>
    </row>
    <row r="89" spans="12:12" x14ac:dyDescent="0.25">
      <c r="L89" s="110"/>
    </row>
    <row r="90" spans="12:12" x14ac:dyDescent="0.25">
      <c r="L90" s="110"/>
    </row>
    <row r="91" spans="12:12" x14ac:dyDescent="0.25">
      <c r="L91" s="110"/>
    </row>
    <row r="92" spans="12:12" x14ac:dyDescent="0.25">
      <c r="L92" s="110"/>
    </row>
    <row r="93" spans="12:12" x14ac:dyDescent="0.25">
      <c r="L93" s="110"/>
    </row>
    <row r="94" spans="12:12" x14ac:dyDescent="0.25">
      <c r="L94" s="110"/>
    </row>
    <row r="95" spans="12:12" x14ac:dyDescent="0.25">
      <c r="L95" s="110"/>
    </row>
    <row r="96" spans="12:12" x14ac:dyDescent="0.25">
      <c r="L96" s="110"/>
    </row>
    <row r="97" spans="12:12" x14ac:dyDescent="0.25">
      <c r="L97" s="110"/>
    </row>
    <row r="98" spans="12:12" x14ac:dyDescent="0.25">
      <c r="L98" s="110"/>
    </row>
    <row r="99" spans="12:12" x14ac:dyDescent="0.25">
      <c r="L99" s="110"/>
    </row>
    <row r="100" spans="12:12" x14ac:dyDescent="0.25">
      <c r="L100" s="110"/>
    </row>
    <row r="101" spans="12:12" x14ac:dyDescent="0.25">
      <c r="L101" s="110"/>
    </row>
    <row r="102" spans="12:12" x14ac:dyDescent="0.25">
      <c r="L102" s="110"/>
    </row>
    <row r="103" spans="12:12" x14ac:dyDescent="0.25">
      <c r="L103" s="110"/>
    </row>
    <row r="104" spans="12:12" x14ac:dyDescent="0.25">
      <c r="L104" s="110"/>
    </row>
    <row r="105" spans="12:12" x14ac:dyDescent="0.25">
      <c r="L105" s="110"/>
    </row>
    <row r="106" spans="12:12" x14ac:dyDescent="0.25">
      <c r="L106" s="110"/>
    </row>
    <row r="107" spans="12:12" x14ac:dyDescent="0.25">
      <c r="L107" s="110"/>
    </row>
    <row r="108" spans="12:12" x14ac:dyDescent="0.25">
      <c r="L108" s="110"/>
    </row>
    <row r="109" spans="12:12" x14ac:dyDescent="0.25">
      <c r="L109" s="110"/>
    </row>
    <row r="110" spans="12:12" x14ac:dyDescent="0.25">
      <c r="L110" s="110"/>
    </row>
    <row r="111" spans="12:12" x14ac:dyDescent="0.25">
      <c r="L111" s="110"/>
    </row>
    <row r="112" spans="12:12" x14ac:dyDescent="0.25">
      <c r="L112" s="110"/>
    </row>
    <row r="113" spans="12:12" x14ac:dyDescent="0.25">
      <c r="L113" s="110"/>
    </row>
    <row r="114" spans="12:12" x14ac:dyDescent="0.25">
      <c r="L114" s="110"/>
    </row>
    <row r="115" spans="12:12" x14ac:dyDescent="0.25">
      <c r="L115" s="110"/>
    </row>
    <row r="116" spans="12:12" x14ac:dyDescent="0.25">
      <c r="L116" s="110"/>
    </row>
    <row r="117" spans="12:12" x14ac:dyDescent="0.25">
      <c r="L117" s="110"/>
    </row>
    <row r="118" spans="12:12" x14ac:dyDescent="0.25">
      <c r="L118" s="110"/>
    </row>
    <row r="119" spans="12:12" x14ac:dyDescent="0.25">
      <c r="L119" s="110"/>
    </row>
    <row r="120" spans="12:12" x14ac:dyDescent="0.25">
      <c r="L120" s="110"/>
    </row>
    <row r="121" spans="12:12" x14ac:dyDescent="0.25">
      <c r="L121" s="110"/>
    </row>
    <row r="122" spans="12:12" x14ac:dyDescent="0.25">
      <c r="L122" s="110"/>
    </row>
    <row r="123" spans="12:12" x14ac:dyDescent="0.25">
      <c r="L123" s="110"/>
    </row>
    <row r="124" spans="12:12" x14ac:dyDescent="0.25">
      <c r="L124" s="110"/>
    </row>
    <row r="125" spans="12:12" x14ac:dyDescent="0.25">
      <c r="L125" s="110"/>
    </row>
    <row r="126" spans="12:12" x14ac:dyDescent="0.25">
      <c r="L126" s="110"/>
    </row>
    <row r="127" spans="12:12" x14ac:dyDescent="0.25">
      <c r="L127" s="110"/>
    </row>
    <row r="128" spans="12:12" x14ac:dyDescent="0.25">
      <c r="L128" s="110"/>
    </row>
    <row r="129" spans="12:12" x14ac:dyDescent="0.25">
      <c r="L129" s="110"/>
    </row>
    <row r="130" spans="12:12" x14ac:dyDescent="0.25">
      <c r="L130" s="110"/>
    </row>
    <row r="131" spans="12:12" x14ac:dyDescent="0.25">
      <c r="L131" s="110"/>
    </row>
    <row r="132" spans="12:12" x14ac:dyDescent="0.25">
      <c r="L132" s="110"/>
    </row>
    <row r="133" spans="12:12" x14ac:dyDescent="0.25">
      <c r="L133" s="110"/>
    </row>
    <row r="134" spans="12:12" x14ac:dyDescent="0.25">
      <c r="L134" s="110"/>
    </row>
    <row r="135" spans="12:12" x14ac:dyDescent="0.25">
      <c r="L135" s="110"/>
    </row>
    <row r="136" spans="12:12" x14ac:dyDescent="0.25">
      <c r="L136" s="110"/>
    </row>
    <row r="137" spans="12:12" x14ac:dyDescent="0.25">
      <c r="L137" s="110"/>
    </row>
    <row r="138" spans="12:12" x14ac:dyDescent="0.25">
      <c r="L138" s="110"/>
    </row>
    <row r="139" spans="12:12" x14ac:dyDescent="0.25">
      <c r="L139" s="110"/>
    </row>
    <row r="140" spans="12:12" x14ac:dyDescent="0.25">
      <c r="L140" s="110"/>
    </row>
  </sheetData>
  <mergeCells count="21">
    <mergeCell ref="S3:U3"/>
    <mergeCell ref="V3:X3"/>
    <mergeCell ref="Y3:AA3"/>
    <mergeCell ref="AB3:AD3"/>
    <mergeCell ref="AE3:AG3"/>
    <mergeCell ref="S2:U2"/>
    <mergeCell ref="V2:X2"/>
    <mergeCell ref="Y2:AA2"/>
    <mergeCell ref="AB2:AD2"/>
    <mergeCell ref="AE2:AG2"/>
    <mergeCell ref="P2:R2"/>
    <mergeCell ref="A1:A3"/>
    <mergeCell ref="B2:D2"/>
    <mergeCell ref="E2:G2"/>
    <mergeCell ref="H2:J2"/>
    <mergeCell ref="K2:M2"/>
    <mergeCell ref="B3:D3"/>
    <mergeCell ref="E3:G3"/>
    <mergeCell ref="H3:J3"/>
    <mergeCell ref="K3:M3"/>
    <mergeCell ref="P3:R3"/>
  </mergeCells>
  <pageMargins left="0.7" right="0.7" top="0.75" bottom="0.75" header="0.3" footer="0.3"/>
  <pageSetup scale="94" fitToWidth="0" orientation="landscape" r:id="rId1"/>
  <colBreaks count="3" manualBreakCount="3">
    <brk id="7" max="1048575" man="1"/>
    <brk id="15" max="1048575" man="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28"/>
  <sheetViews>
    <sheetView zoomScale="85" zoomScaleNormal="85" zoomScaleSheetLayoutView="100" workbookViewId="0">
      <pane xSplit="1" ySplit="2" topLeftCell="B3" activePane="bottomRight" state="frozen"/>
      <selection activeCell="G14" sqref="G14"/>
      <selection pane="topRight" activeCell="G14" sqref="G14"/>
      <selection pane="bottomLeft" activeCell="G14" sqref="G14"/>
      <selection pane="bottomRight" activeCell="B3" sqref="B3"/>
    </sheetView>
  </sheetViews>
  <sheetFormatPr defaultColWidth="9.140625" defaultRowHeight="15" x14ac:dyDescent="0.25"/>
  <cols>
    <col min="1" max="1" width="41.85546875" style="54" customWidth="1"/>
    <col min="2" max="3" width="17.5703125" style="54" customWidth="1"/>
    <col min="4" max="4" width="18.140625" style="54" customWidth="1"/>
    <col min="5" max="16384" width="9.140625" style="54"/>
  </cols>
  <sheetData>
    <row r="1" spans="1:8" ht="21" customHeight="1" x14ac:dyDescent="0.25">
      <c r="A1" s="344" t="s">
        <v>72</v>
      </c>
      <c r="B1" s="344"/>
      <c r="C1" s="344"/>
      <c r="D1" s="344"/>
    </row>
    <row r="2" spans="1:8" ht="30" x14ac:dyDescent="0.25">
      <c r="A2" s="55" t="s">
        <v>62</v>
      </c>
      <c r="B2" s="55" t="s">
        <v>96</v>
      </c>
      <c r="C2" s="55" t="s">
        <v>97</v>
      </c>
      <c r="D2" s="55" t="s">
        <v>126</v>
      </c>
    </row>
    <row r="3" spans="1:8" ht="17.25" customHeight="1" x14ac:dyDescent="0.25">
      <c r="A3" s="56" t="s">
        <v>50</v>
      </c>
      <c r="B3" s="390">
        <f>'Network Benefits Summary'!S28+'Custom Truck Benefits Summary'!S30</f>
        <v>51.598457468434823</v>
      </c>
      <c r="C3" s="59">
        <f>'Network Benefits Summary'!AC28+'Custom Truck Benefits Summary'!AC30</f>
        <v>28.58160848412922</v>
      </c>
      <c r="D3" s="390">
        <f>'Network Benefits Summary'!J28+'Custom Truck Benefits Summary'!J30</f>
        <v>84.330601193305057</v>
      </c>
    </row>
    <row r="4" spans="1:8" ht="17.25" customHeight="1" x14ac:dyDescent="0.25">
      <c r="A4" s="56" t="s">
        <v>63</v>
      </c>
      <c r="B4" s="390">
        <f>'Network Benefits Summary'!T28+'Custom Truck Benefits Summary'!T30</f>
        <v>72.173663967394376</v>
      </c>
      <c r="C4" s="59">
        <f>'Network Benefits Summary'!AD28+'Custom Truck Benefits Summary'!AD30</f>
        <v>39.847984970157839</v>
      </c>
      <c r="D4" s="390">
        <f>'Network Benefits Summary'!K28+'Custom Truck Benefits Summary'!K30</f>
        <v>118.27926215110986</v>
      </c>
    </row>
    <row r="5" spans="1:8" ht="17.25" customHeight="1" x14ac:dyDescent="0.25">
      <c r="A5" s="56" t="s">
        <v>64</v>
      </c>
      <c r="B5" s="390">
        <f>'Network Benefits Summary'!U28+'Custom Truck Benefits Summary'!U30</f>
        <v>32.498651453213355</v>
      </c>
      <c r="C5" s="59">
        <f>'Network Benefits Summary'!AE28+'Custom Truck Benefits Summary'!AE30</f>
        <v>18.604438077600982</v>
      </c>
      <c r="D5" s="390">
        <f>'Network Benefits Summary'!L28+'Custom Truck Benefits Summary'!L30</f>
        <v>51.726709136073438</v>
      </c>
    </row>
    <row r="6" spans="1:8" ht="17.25" customHeight="1" x14ac:dyDescent="0.25">
      <c r="A6" s="270" t="s">
        <v>46</v>
      </c>
      <c r="B6" s="393">
        <f>'Network Benefits Summary'!V28+'460 Safety Benefits Summary'!H30+'Custom Truck Benefits Summary'!V30</f>
        <v>51.805857842706601</v>
      </c>
      <c r="C6" s="394">
        <f>'460 Safety Benefits Summary'!L30+'Network Benefits Summary'!AF28+'Custom Truck Benefits Summary'!AF30</f>
        <v>28.576271701615187</v>
      </c>
      <c r="D6" s="393">
        <f>'460 Safety Benefits Summary'!E30+'Network Benefits Summary'!M28+'Custom Truck Benefits Summary'!M30</f>
        <v>84.95277492263736</v>
      </c>
      <c r="F6" s="146"/>
      <c r="G6" s="146"/>
      <c r="H6" s="146"/>
    </row>
    <row r="7" spans="1:8" ht="17.25" customHeight="1" x14ac:dyDescent="0.25">
      <c r="A7" s="56" t="s">
        <v>112</v>
      </c>
      <c r="B7" s="390">
        <f>'Network Benefits Summary'!W28+'Custom Truck Benefits Summary'!W30</f>
        <v>6.6146677756784662</v>
      </c>
      <c r="C7" s="59">
        <f>'Network Benefits Summary'!AG28+'Custom Truck Benefits Summary'!AG30</f>
        <v>3.6703847994466026</v>
      </c>
      <c r="D7" s="390">
        <f>'Network Benefits Summary'!N28+'Custom Truck Benefits Summary'!N30</f>
        <v>10.796322794537923</v>
      </c>
    </row>
    <row r="8" spans="1:8" ht="17.25" customHeight="1" x14ac:dyDescent="0.25">
      <c r="A8" s="56" t="s">
        <v>65</v>
      </c>
      <c r="B8" s="390">
        <f>'Network Benefits Summary'!X28+'Custom Truck Benefits Summary'!X30</f>
        <v>268.98291979581046</v>
      </c>
      <c r="C8" s="59">
        <f>'Network Benefits Summary'!AH28+'Custom Truck Benefits Summary'!AH30</f>
        <v>146.95583475507092</v>
      </c>
      <c r="D8" s="390">
        <f>'Network Benefits Summary'!O28+'Custom Truck Benefits Summary'!O30</f>
        <v>444.40275829692717</v>
      </c>
    </row>
    <row r="9" spans="1:8" ht="21" customHeight="1" x14ac:dyDescent="0.25">
      <c r="A9" s="57" t="s">
        <v>51</v>
      </c>
      <c r="B9" s="391">
        <f>SUM(B3:B8)</f>
        <v>483.67421830323809</v>
      </c>
      <c r="C9" s="60">
        <f>SUM(C3:C8)</f>
        <v>266.23652278802075</v>
      </c>
      <c r="D9" s="391">
        <f>SUM(D3:D8)</f>
        <v>794.48842849459083</v>
      </c>
    </row>
    <row r="10" spans="1:8" ht="5.25" hidden="1" customHeight="1" x14ac:dyDescent="0.25">
      <c r="A10" s="58"/>
      <c r="B10" s="58"/>
      <c r="C10" s="58"/>
    </row>
    <row r="11" spans="1:8" ht="30" x14ac:dyDescent="0.25">
      <c r="A11" s="55" t="s">
        <v>66</v>
      </c>
      <c r="B11" s="55" t="s">
        <v>96</v>
      </c>
      <c r="C11" s="55" t="s">
        <v>97</v>
      </c>
      <c r="D11" s="55" t="s">
        <v>126</v>
      </c>
    </row>
    <row r="12" spans="1:8" x14ac:dyDescent="0.25">
      <c r="A12" s="56" t="s">
        <v>67</v>
      </c>
      <c r="B12" s="390">
        <f>'Cost Summary Discounted'!E36</f>
        <v>47.32743803851249</v>
      </c>
      <c r="C12" s="59">
        <f>'Cost Summary Discounted'!H36</f>
        <v>42.344524230224067</v>
      </c>
      <c r="D12" s="390">
        <f>'Cost Summary Discounted'!B36</f>
        <v>51.730000000000004</v>
      </c>
    </row>
    <row r="13" spans="1:8" x14ac:dyDescent="0.25">
      <c r="A13" s="56" t="s">
        <v>68</v>
      </c>
      <c r="B13" s="390">
        <f>'Cost Summary Discounted'!F36</f>
        <v>-1.5870083872622829</v>
      </c>
      <c r="C13" s="59">
        <f>'Cost Summary Discounted'!I36</f>
        <v>-1.1166497418952679</v>
      </c>
      <c r="D13" s="390">
        <f>'Cost Summary Discounted'!C36</f>
        <v>-2.1949999999999994</v>
      </c>
    </row>
    <row r="14" spans="1:8" ht="21" customHeight="1" x14ac:dyDescent="0.25">
      <c r="A14" s="57" t="s">
        <v>53</v>
      </c>
      <c r="B14" s="391">
        <f>B12+B13</f>
        <v>45.74042965125021</v>
      </c>
      <c r="C14" s="60">
        <f>C12+C13</f>
        <v>41.227874488328801</v>
      </c>
      <c r="D14" s="391">
        <f>SUM(D12:D13)</f>
        <v>49.535000000000004</v>
      </c>
    </row>
    <row r="15" spans="1:8" ht="1.5" customHeight="1" x14ac:dyDescent="0.25">
      <c r="A15" s="58"/>
      <c r="B15" s="61"/>
      <c r="C15" s="61"/>
    </row>
    <row r="16" spans="1:8" ht="30" x14ac:dyDescent="0.25">
      <c r="A16" s="55" t="s">
        <v>69</v>
      </c>
      <c r="B16" s="55" t="s">
        <v>96</v>
      </c>
      <c r="C16" s="55" t="s">
        <v>97</v>
      </c>
      <c r="D16" s="55" t="s">
        <v>126</v>
      </c>
    </row>
    <row r="17" spans="1:4" x14ac:dyDescent="0.25">
      <c r="A17" s="56" t="s">
        <v>71</v>
      </c>
      <c r="B17" s="390">
        <f>B9-B14</f>
        <v>437.93378865198787</v>
      </c>
      <c r="C17" s="59">
        <f>C9-C14</f>
        <v>225.00864829969194</v>
      </c>
      <c r="D17" s="390">
        <f>D9-D14</f>
        <v>744.95342849459087</v>
      </c>
    </row>
    <row r="18" spans="1:4" ht="1.5" customHeight="1" x14ac:dyDescent="0.25">
      <c r="A18" s="58"/>
      <c r="B18" s="58"/>
      <c r="C18" s="58"/>
    </row>
    <row r="19" spans="1:4" ht="30" x14ac:dyDescent="0.25">
      <c r="A19" s="55" t="s">
        <v>69</v>
      </c>
      <c r="B19" s="55" t="s">
        <v>96</v>
      </c>
      <c r="C19" s="55" t="s">
        <v>97</v>
      </c>
      <c r="D19" s="55" t="s">
        <v>126</v>
      </c>
    </row>
    <row r="20" spans="1:4" x14ac:dyDescent="0.25">
      <c r="A20" s="62" t="s">
        <v>70</v>
      </c>
      <c r="B20" s="392">
        <f>B9/B14</f>
        <v>10.574326082877491</v>
      </c>
      <c r="C20" s="148">
        <f>C9/C14</f>
        <v>6.457682480414789</v>
      </c>
      <c r="D20" s="392">
        <f>D9/D14</f>
        <v>16.038930624701539</v>
      </c>
    </row>
    <row r="21" spans="1:4" x14ac:dyDescent="0.25">
      <c r="C21" s="322"/>
    </row>
    <row r="23" spans="1:4" x14ac:dyDescent="0.25">
      <c r="A23" s="344" t="s">
        <v>361</v>
      </c>
      <c r="B23" s="344"/>
      <c r="C23" s="344"/>
      <c r="D23" s="344"/>
    </row>
    <row r="24" spans="1:4" ht="30" x14ac:dyDescent="0.25">
      <c r="A24" s="55" t="s">
        <v>62</v>
      </c>
      <c r="B24" s="55" t="s">
        <v>96</v>
      </c>
      <c r="C24" s="55" t="s">
        <v>97</v>
      </c>
      <c r="D24" s="55" t="s">
        <v>126</v>
      </c>
    </row>
    <row r="25" spans="1:4" x14ac:dyDescent="0.25">
      <c r="A25" s="329" t="s">
        <v>362</v>
      </c>
      <c r="B25" s="336">
        <f>'Network Benefits Summary'!Y28</f>
        <v>337.16465277022161</v>
      </c>
      <c r="C25" s="336">
        <f>'Network Benefits Summary'!AI28</f>
        <v>185.23424250699537</v>
      </c>
      <c r="D25" s="336">
        <f>'Network Benefits Summary'!P28</f>
        <v>554.67145979947679</v>
      </c>
    </row>
    <row r="26" spans="1:4" x14ac:dyDescent="0.25">
      <c r="A26" s="329" t="s">
        <v>371</v>
      </c>
      <c r="B26" s="336">
        <f>'460 Safety Benefits Summary'!H30</f>
        <v>43.234727473003616</v>
      </c>
      <c r="C26" s="336">
        <f>'460 Safety Benefits Summary'!L30</f>
        <v>23.838313242228089</v>
      </c>
      <c r="D26" s="336">
        <f>'460 Safety Benefits Summary'!E30</f>
        <v>70.922241198369449</v>
      </c>
    </row>
    <row r="27" spans="1:4" ht="30" x14ac:dyDescent="0.25">
      <c r="A27" s="329" t="s">
        <v>367</v>
      </c>
      <c r="B27" s="336">
        <f>'Custom Truck Benefits Summary'!Y30</f>
        <v>103.27483806001271</v>
      </c>
      <c r="C27" s="336">
        <f>'Custom Truck Benefits Summary'!AI30</f>
        <v>57.163967038797324</v>
      </c>
      <c r="D27" s="336">
        <f>'Custom Truck Benefits Summary'!P30</f>
        <v>168.89472749674454</v>
      </c>
    </row>
    <row r="28" spans="1:4" x14ac:dyDescent="0.25">
      <c r="A28" s="331" t="s">
        <v>51</v>
      </c>
      <c r="B28" s="332">
        <f>SUM(B25:B27)</f>
        <v>483.67421830323792</v>
      </c>
      <c r="C28" s="332">
        <f t="shared" ref="C28:D28" si="0">SUM(C25:C27)</f>
        <v>266.23652278802081</v>
      </c>
      <c r="D28" s="332">
        <f t="shared" si="0"/>
        <v>794.48842849459072</v>
      </c>
    </row>
  </sheetData>
  <mergeCells count="2">
    <mergeCell ref="A1:D1"/>
    <mergeCell ref="A23:D23"/>
  </mergeCells>
  <pageMargins left="0.7" right="0.7" top="0.75" bottom="0.75" header="0.3" footer="0.3"/>
  <pageSetup orientation="portrait" r:id="rId1"/>
  <headerFooter>
    <oddHeader>&amp;C&amp;"Times New Roman,Regular"&amp;12Interstate 84  – Karcher Underpass to Franklin Boulevard</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8C4C0-E735-4A58-943A-8883BC80D6DB}">
  <sheetPr>
    <tabColor rgb="FF92D050"/>
  </sheetPr>
  <dimension ref="A1:AJ32"/>
  <sheetViews>
    <sheetView zoomScale="90" zoomScaleNormal="90" workbookViewId="0">
      <pane xSplit="1" ySplit="2" topLeftCell="V14" activePane="bottomRight" state="frozen"/>
      <selection activeCell="G14" sqref="G14"/>
      <selection pane="topRight" activeCell="G14" sqref="G14"/>
      <selection pane="bottomLeft" activeCell="G14" sqref="G14"/>
      <selection pane="bottomRight" activeCell="AG37" sqref="AG37"/>
    </sheetView>
  </sheetViews>
  <sheetFormatPr defaultColWidth="9.140625" defaultRowHeight="15" x14ac:dyDescent="0.25"/>
  <cols>
    <col min="1" max="1" width="7.42578125" style="54" customWidth="1"/>
    <col min="2" max="2" width="16.28515625" style="54" customWidth="1"/>
    <col min="3" max="3" width="16" style="54" customWidth="1"/>
    <col min="4" max="4" width="16.42578125" style="54" customWidth="1"/>
    <col min="5" max="5" width="14.140625" style="54" customWidth="1"/>
    <col min="6" max="6" width="12.7109375" style="54" customWidth="1"/>
    <col min="7" max="7" width="14.7109375" style="54" customWidth="1"/>
    <col min="8" max="8" width="6" style="54" customWidth="1"/>
    <col min="9" max="9" width="9.140625" style="54"/>
    <col min="10" max="10" width="15.28515625" style="54" customWidth="1"/>
    <col min="11" max="11" width="16.5703125" style="54" customWidth="1"/>
    <col min="12" max="12" width="15" style="54" customWidth="1"/>
    <col min="13" max="14" width="9.140625" style="54"/>
    <col min="15" max="15" width="14.7109375" style="54" customWidth="1"/>
    <col min="16" max="16" width="9.85546875" style="54" customWidth="1"/>
    <col min="17" max="17" width="1.85546875" style="54" customWidth="1"/>
    <col min="18" max="18" width="9.140625" style="54"/>
    <col min="19" max="19" width="12.7109375" style="54" customWidth="1"/>
    <col min="20" max="20" width="17" style="54" customWidth="1"/>
    <col min="21" max="21" width="15.5703125" style="54" customWidth="1"/>
    <col min="22" max="23" width="9.140625" style="54"/>
    <col min="24" max="24" width="15.7109375" style="54" customWidth="1"/>
    <col min="25" max="25" width="9.42578125" style="54" customWidth="1"/>
    <col min="26" max="26" width="10.85546875" style="54" customWidth="1"/>
    <col min="27" max="27" width="1.28515625" style="54" customWidth="1"/>
    <col min="28" max="28" width="8.42578125" style="54" customWidth="1"/>
    <col min="29" max="29" width="12.5703125" style="54" customWidth="1"/>
    <col min="30" max="30" width="15.7109375" style="54" customWidth="1"/>
    <col min="31" max="31" width="16.140625" style="54" customWidth="1"/>
    <col min="32" max="33" width="9.7109375" style="54" customWidth="1"/>
    <col min="34" max="34" width="11.5703125" style="54" customWidth="1"/>
    <col min="35" max="36" width="10.42578125" style="54" customWidth="1"/>
    <col min="37" max="16384" width="9.140625" style="54"/>
  </cols>
  <sheetData>
    <row r="1" spans="1:36" s="48" customFormat="1" ht="30.75" customHeight="1" x14ac:dyDescent="0.25">
      <c r="A1" s="345" t="s">
        <v>76</v>
      </c>
      <c r="B1" s="345"/>
      <c r="C1" s="345"/>
      <c r="D1" s="345"/>
      <c r="E1" s="345"/>
      <c r="F1" s="345"/>
      <c r="G1" s="345"/>
      <c r="H1" s="63"/>
      <c r="I1" s="345" t="s">
        <v>91</v>
      </c>
      <c r="J1" s="345"/>
      <c r="K1" s="345"/>
      <c r="L1" s="345"/>
      <c r="M1" s="345"/>
      <c r="N1" s="345"/>
      <c r="O1" s="345"/>
      <c r="P1" s="345"/>
      <c r="Q1" s="63"/>
      <c r="R1" s="345" t="s">
        <v>92</v>
      </c>
      <c r="S1" s="345"/>
      <c r="T1" s="345"/>
      <c r="U1" s="345"/>
      <c r="V1" s="345"/>
      <c r="W1" s="345"/>
      <c r="X1" s="345"/>
      <c r="Y1" s="345"/>
      <c r="Z1" s="147">
        <v>2018</v>
      </c>
      <c r="AA1" s="63"/>
      <c r="AB1" s="345" t="s">
        <v>194</v>
      </c>
      <c r="AC1" s="345"/>
      <c r="AD1" s="345"/>
      <c r="AE1" s="345"/>
      <c r="AF1" s="345"/>
      <c r="AG1" s="345"/>
      <c r="AH1" s="345"/>
      <c r="AI1" s="345"/>
      <c r="AJ1" s="48">
        <f>Z1</f>
        <v>2018</v>
      </c>
    </row>
    <row r="2" spans="1:36" s="69" customFormat="1" ht="45" x14ac:dyDescent="0.25">
      <c r="A2" s="64" t="s">
        <v>0</v>
      </c>
      <c r="B2" s="167" t="s">
        <v>50</v>
      </c>
      <c r="C2" s="167" t="s">
        <v>49</v>
      </c>
      <c r="D2" s="167" t="s">
        <v>48</v>
      </c>
      <c r="E2" s="167" t="s">
        <v>89</v>
      </c>
      <c r="F2" s="167" t="s">
        <v>47</v>
      </c>
      <c r="G2" s="167" t="s">
        <v>105</v>
      </c>
      <c r="H2" s="65"/>
      <c r="I2" s="64" t="s">
        <v>0</v>
      </c>
      <c r="J2" s="64" t="s">
        <v>50</v>
      </c>
      <c r="K2" s="64" t="s">
        <v>49</v>
      </c>
      <c r="L2" s="64" t="s">
        <v>48</v>
      </c>
      <c r="M2" s="64" t="s">
        <v>47</v>
      </c>
      <c r="N2" s="64" t="s">
        <v>106</v>
      </c>
      <c r="O2" s="167" t="s">
        <v>89</v>
      </c>
      <c r="P2" s="64" t="s">
        <v>51</v>
      </c>
      <c r="Q2" s="66"/>
      <c r="R2" s="67" t="s">
        <v>0</v>
      </c>
      <c r="S2" s="67" t="s">
        <v>50</v>
      </c>
      <c r="T2" s="67" t="s">
        <v>49</v>
      </c>
      <c r="U2" s="67" t="s">
        <v>48</v>
      </c>
      <c r="V2" s="67" t="s">
        <v>47</v>
      </c>
      <c r="W2" s="64" t="s">
        <v>106</v>
      </c>
      <c r="X2" s="67" t="s">
        <v>89</v>
      </c>
      <c r="Y2" s="67" t="s">
        <v>51</v>
      </c>
      <c r="Z2" s="67" t="s">
        <v>107</v>
      </c>
      <c r="AA2" s="68"/>
      <c r="AB2" s="67" t="s">
        <v>0</v>
      </c>
      <c r="AC2" s="67" t="s">
        <v>50</v>
      </c>
      <c r="AD2" s="67" t="s">
        <v>49</v>
      </c>
      <c r="AE2" s="67" t="s">
        <v>48</v>
      </c>
      <c r="AF2" s="67" t="s">
        <v>47</v>
      </c>
      <c r="AG2" s="67" t="s">
        <v>106</v>
      </c>
      <c r="AH2" s="67" t="s">
        <v>89</v>
      </c>
      <c r="AI2" s="67" t="s">
        <v>51</v>
      </c>
      <c r="AJ2" s="67" t="s">
        <v>127</v>
      </c>
    </row>
    <row r="3" spans="1:36" x14ac:dyDescent="0.25">
      <c r="A3" s="70">
        <f>'Custom Truck Benefit Calc.'!A5</f>
        <v>2018</v>
      </c>
      <c r="B3" s="71">
        <f>SUM('Custom Truck Benefit Calc.'!B5:D5)-SUM('Custom Truck Benefit Calc.'!E5:G5)</f>
        <v>0</v>
      </c>
      <c r="C3" s="71">
        <f>('Custom Truck Benefit Calc.'!H5-'Custom Truck Benefit Calc.'!K5)+('Custom Truck Benefit Calc.'!J5-'Custom Truck Benefit Calc.'!M5)+('Custom Truck Benefit Calc.'!P5-'Custom Truck Benefit Calc.'!S5)+('Custom Truck Benefit Calc.'!R5-'Custom Truck Benefit Calc.'!U5)</f>
        <v>0</v>
      </c>
      <c r="D3" s="71">
        <f>('Custom Truck Benefit Calc.'!I5-'Custom Truck Benefit Calc.'!L5)+('Custom Truck Benefit Calc.'!Q5-'Custom Truck Benefit Calc.'!T5)</f>
        <v>0</v>
      </c>
      <c r="E3" s="71">
        <f>'Custom Truck Benefit Calc.'!N5-'Custom Truck Benefit Calc.'!O5</f>
        <v>0</v>
      </c>
      <c r="F3" s="71">
        <f>SUM('Custom Truck Benefit Calc.'!V5:X5)-SUM('Custom Truck Benefit Calc.'!Y5:AA5)</f>
        <v>0</v>
      </c>
      <c r="G3" s="71">
        <f>SUM('Custom Truck Benefit Calc.'!AB5:AD5)-SUM('Custom Truck Benefit Calc.'!AE5:AG5)</f>
        <v>0</v>
      </c>
      <c r="H3" s="72"/>
      <c r="I3" s="70">
        <f t="shared" ref="I3:I29" si="0">A3</f>
        <v>2018</v>
      </c>
      <c r="J3" s="73">
        <f t="shared" ref="J3:L18" si="1">B3/1000000</f>
        <v>0</v>
      </c>
      <c r="K3" s="73">
        <f t="shared" si="1"/>
        <v>0</v>
      </c>
      <c r="L3" s="73">
        <f t="shared" si="1"/>
        <v>0</v>
      </c>
      <c r="M3" s="73">
        <f t="shared" ref="M3:N18" si="2">F3/1000000</f>
        <v>0</v>
      </c>
      <c r="N3" s="73">
        <f t="shared" si="2"/>
        <v>0</v>
      </c>
      <c r="O3" s="169">
        <f>E3/1000000</f>
        <v>0</v>
      </c>
      <c r="P3" s="73">
        <f t="shared" ref="P3:P29" si="3">SUM(J3:O3)</f>
        <v>0</v>
      </c>
      <c r="Q3" s="72"/>
      <c r="R3" s="203">
        <f t="shared" ref="R3:R29" si="4">I3</f>
        <v>2018</v>
      </c>
      <c r="S3" s="75">
        <f t="shared" ref="S3:V18" si="5">J3*$Z3</f>
        <v>0</v>
      </c>
      <c r="T3" s="75">
        <f t="shared" si="5"/>
        <v>0</v>
      </c>
      <c r="U3" s="75">
        <f t="shared" si="5"/>
        <v>0</v>
      </c>
      <c r="V3" s="75">
        <f>M3*$Z3</f>
        <v>0</v>
      </c>
      <c r="W3" s="75">
        <f t="shared" ref="W3:X18" si="6">N3*$Z3</f>
        <v>0</v>
      </c>
      <c r="X3" s="75">
        <f t="shared" si="6"/>
        <v>0</v>
      </c>
      <c r="Y3" s="75">
        <f t="shared" ref="Y3:Y29" si="7">SUM(S3:X3)</f>
        <v>0</v>
      </c>
      <c r="Z3" s="76">
        <f>1/((1+0.03)^(R3-$Z$1))</f>
        <v>1</v>
      </c>
      <c r="AA3" s="72"/>
      <c r="AB3" s="203">
        <f t="shared" ref="AB3:AB29" si="8">R3</f>
        <v>2018</v>
      </c>
      <c r="AC3" s="75">
        <f t="shared" ref="AC3:AH18" si="9">J3*$AJ3</f>
        <v>0</v>
      </c>
      <c r="AD3" s="75">
        <f t="shared" si="9"/>
        <v>0</v>
      </c>
      <c r="AE3" s="75">
        <f t="shared" si="9"/>
        <v>0</v>
      </c>
      <c r="AF3" s="75">
        <f t="shared" si="9"/>
        <v>0</v>
      </c>
      <c r="AG3" s="75">
        <f t="shared" si="9"/>
        <v>0</v>
      </c>
      <c r="AH3" s="75">
        <f t="shared" si="9"/>
        <v>0</v>
      </c>
      <c r="AI3" s="75">
        <f t="shared" ref="AI3:AI6" si="10">SUM(AC3:AH3)</f>
        <v>0</v>
      </c>
      <c r="AJ3" s="76">
        <f>1/((1+0.07)^(AB3-$AJ$1))</f>
        <v>1</v>
      </c>
    </row>
    <row r="4" spans="1:36" x14ac:dyDescent="0.25">
      <c r="A4" s="70">
        <f>'Custom Truck Benefit Calc.'!A6</f>
        <v>2019</v>
      </c>
      <c r="B4" s="71">
        <f>SUM('Custom Truck Benefit Calc.'!B6:D6)-SUM('Custom Truck Benefit Calc.'!E6:G6)</f>
        <v>0</v>
      </c>
      <c r="C4" s="71">
        <f>('Custom Truck Benefit Calc.'!H6-'Custom Truck Benefit Calc.'!K6)+('Custom Truck Benefit Calc.'!J6-'Custom Truck Benefit Calc.'!M6)+('Custom Truck Benefit Calc.'!P6-'Custom Truck Benefit Calc.'!S6)+('Custom Truck Benefit Calc.'!R6-'Custom Truck Benefit Calc.'!U6)</f>
        <v>0</v>
      </c>
      <c r="D4" s="71">
        <f>('Custom Truck Benefit Calc.'!I6-'Custom Truck Benefit Calc.'!L6)+('Custom Truck Benefit Calc.'!Q6-'Custom Truck Benefit Calc.'!T6)</f>
        <v>0</v>
      </c>
      <c r="E4" s="71">
        <f>'Custom Truck Benefit Calc.'!N6-'Custom Truck Benefit Calc.'!O6</f>
        <v>0</v>
      </c>
      <c r="F4" s="71">
        <f>SUM('Custom Truck Benefit Calc.'!V6:X6)-SUM('Custom Truck Benefit Calc.'!Y6:AA6)</f>
        <v>0</v>
      </c>
      <c r="G4" s="71">
        <f>SUM('Custom Truck Benefit Calc.'!AB6:AD6)-SUM('Custom Truck Benefit Calc.'!AE6:AG6)</f>
        <v>0</v>
      </c>
      <c r="H4" s="72"/>
      <c r="I4" s="70">
        <f t="shared" si="0"/>
        <v>2019</v>
      </c>
      <c r="J4" s="75">
        <f t="shared" si="1"/>
        <v>0</v>
      </c>
      <c r="K4" s="75">
        <f t="shared" si="1"/>
        <v>0</v>
      </c>
      <c r="L4" s="75">
        <f t="shared" si="1"/>
        <v>0</v>
      </c>
      <c r="M4" s="75">
        <f t="shared" si="2"/>
        <v>0</v>
      </c>
      <c r="N4" s="73">
        <f t="shared" si="2"/>
        <v>0</v>
      </c>
      <c r="O4" s="169">
        <f t="shared" ref="O4:O29" si="11">E4/1000000</f>
        <v>0</v>
      </c>
      <c r="P4" s="75">
        <f t="shared" si="3"/>
        <v>0</v>
      </c>
      <c r="Q4" s="72"/>
      <c r="R4" s="203">
        <f t="shared" si="4"/>
        <v>2019</v>
      </c>
      <c r="S4" s="75">
        <f t="shared" si="5"/>
        <v>0</v>
      </c>
      <c r="T4" s="75">
        <f t="shared" si="5"/>
        <v>0</v>
      </c>
      <c r="U4" s="75">
        <f t="shared" si="5"/>
        <v>0</v>
      </c>
      <c r="V4" s="75">
        <f t="shared" si="5"/>
        <v>0</v>
      </c>
      <c r="W4" s="75">
        <f t="shared" si="6"/>
        <v>0</v>
      </c>
      <c r="X4" s="75">
        <f t="shared" si="6"/>
        <v>0</v>
      </c>
      <c r="Y4" s="75">
        <f t="shared" si="7"/>
        <v>0</v>
      </c>
      <c r="Z4" s="76">
        <f t="shared" ref="Z4:Z29" si="12">1/((1+0.03)^(R4-$Z$1))</f>
        <v>0.970873786407767</v>
      </c>
      <c r="AA4" s="72"/>
      <c r="AB4" s="203">
        <f t="shared" si="8"/>
        <v>2019</v>
      </c>
      <c r="AC4" s="75">
        <f t="shared" si="9"/>
        <v>0</v>
      </c>
      <c r="AD4" s="75">
        <f t="shared" si="9"/>
        <v>0</v>
      </c>
      <c r="AE4" s="75">
        <f t="shared" si="9"/>
        <v>0</v>
      </c>
      <c r="AF4" s="75">
        <f t="shared" si="9"/>
        <v>0</v>
      </c>
      <c r="AG4" s="75">
        <f t="shared" si="9"/>
        <v>0</v>
      </c>
      <c r="AH4" s="75">
        <f t="shared" si="9"/>
        <v>0</v>
      </c>
      <c r="AI4" s="75">
        <f t="shared" si="10"/>
        <v>0</v>
      </c>
      <c r="AJ4" s="76">
        <f t="shared" ref="AJ4:AJ29" si="13">1/((1+0.07)^(AB4-$AJ$1))</f>
        <v>0.93457943925233644</v>
      </c>
    </row>
    <row r="5" spans="1:36" x14ac:dyDescent="0.25">
      <c r="A5" s="70">
        <f>'Custom Truck Benefit Calc.'!A7</f>
        <v>2020</v>
      </c>
      <c r="B5" s="71">
        <f>SUM('Custom Truck Benefit Calc.'!B7:D7)-SUM('Custom Truck Benefit Calc.'!E7:G7)</f>
        <v>0</v>
      </c>
      <c r="C5" s="71">
        <f>('Custom Truck Benefit Calc.'!H7-'Custom Truck Benefit Calc.'!K7)+('Custom Truck Benefit Calc.'!J7-'Custom Truck Benefit Calc.'!M7)+('Custom Truck Benefit Calc.'!P7-'Custom Truck Benefit Calc.'!S7)+('Custom Truck Benefit Calc.'!R7-'Custom Truck Benefit Calc.'!U7)</f>
        <v>0</v>
      </c>
      <c r="D5" s="71">
        <f>('Custom Truck Benefit Calc.'!I7-'Custom Truck Benefit Calc.'!L7)+('Custom Truck Benefit Calc.'!Q7-'Custom Truck Benefit Calc.'!T7)</f>
        <v>0</v>
      </c>
      <c r="E5" s="71">
        <f>'Custom Truck Benefit Calc.'!N7-'Custom Truck Benefit Calc.'!O7</f>
        <v>0</v>
      </c>
      <c r="F5" s="71">
        <f>SUM('Custom Truck Benefit Calc.'!V7:X7)-SUM('Custom Truck Benefit Calc.'!Y7:AA7)</f>
        <v>0</v>
      </c>
      <c r="G5" s="71">
        <f>SUM('Custom Truck Benefit Calc.'!AB7:AD7)-SUM('Custom Truck Benefit Calc.'!AE7:AG7)</f>
        <v>0</v>
      </c>
      <c r="H5" s="72"/>
      <c r="I5" s="70">
        <f t="shared" si="0"/>
        <v>2020</v>
      </c>
      <c r="J5" s="75">
        <f t="shared" si="1"/>
        <v>0</v>
      </c>
      <c r="K5" s="75">
        <f t="shared" si="1"/>
        <v>0</v>
      </c>
      <c r="L5" s="75">
        <f t="shared" si="1"/>
        <v>0</v>
      </c>
      <c r="M5" s="75">
        <f t="shared" si="2"/>
        <v>0</v>
      </c>
      <c r="N5" s="73">
        <f t="shared" si="2"/>
        <v>0</v>
      </c>
      <c r="O5" s="169">
        <f t="shared" si="11"/>
        <v>0</v>
      </c>
      <c r="P5" s="75">
        <f t="shared" si="3"/>
        <v>0</v>
      </c>
      <c r="Q5" s="72"/>
      <c r="R5" s="203">
        <f t="shared" si="4"/>
        <v>2020</v>
      </c>
      <c r="S5" s="75">
        <f t="shared" si="5"/>
        <v>0</v>
      </c>
      <c r="T5" s="75">
        <f t="shared" si="5"/>
        <v>0</v>
      </c>
      <c r="U5" s="75">
        <f t="shared" si="5"/>
        <v>0</v>
      </c>
      <c r="V5" s="75">
        <f t="shared" si="5"/>
        <v>0</v>
      </c>
      <c r="W5" s="75">
        <f t="shared" si="6"/>
        <v>0</v>
      </c>
      <c r="X5" s="75">
        <f t="shared" si="6"/>
        <v>0</v>
      </c>
      <c r="Y5" s="75">
        <f t="shared" si="7"/>
        <v>0</v>
      </c>
      <c r="Z5" s="76">
        <f t="shared" si="12"/>
        <v>0.94259590913375435</v>
      </c>
      <c r="AA5" s="72"/>
      <c r="AB5" s="203">
        <f t="shared" si="8"/>
        <v>2020</v>
      </c>
      <c r="AC5" s="75">
        <f t="shared" si="9"/>
        <v>0</v>
      </c>
      <c r="AD5" s="75">
        <f t="shared" si="9"/>
        <v>0</v>
      </c>
      <c r="AE5" s="75">
        <f t="shared" si="9"/>
        <v>0</v>
      </c>
      <c r="AF5" s="75">
        <f t="shared" si="9"/>
        <v>0</v>
      </c>
      <c r="AG5" s="75">
        <f t="shared" si="9"/>
        <v>0</v>
      </c>
      <c r="AH5" s="75">
        <f t="shared" si="9"/>
        <v>0</v>
      </c>
      <c r="AI5" s="75">
        <f t="shared" si="10"/>
        <v>0</v>
      </c>
      <c r="AJ5" s="76">
        <f t="shared" si="13"/>
        <v>0.87343872827321156</v>
      </c>
    </row>
    <row r="6" spans="1:36" x14ac:dyDescent="0.25">
      <c r="A6" s="70">
        <f>'Custom Truck Benefit Calc.'!A8</f>
        <v>2021</v>
      </c>
      <c r="B6" s="71">
        <f>SUM('Custom Truck Benefit Calc.'!B8:D8)-SUM('Custom Truck Benefit Calc.'!E8:G8)</f>
        <v>0</v>
      </c>
      <c r="C6" s="71">
        <f>('Custom Truck Benefit Calc.'!H8-'Custom Truck Benefit Calc.'!K8)+('Custom Truck Benefit Calc.'!J8-'Custom Truck Benefit Calc.'!M8)+('Custom Truck Benefit Calc.'!P8-'Custom Truck Benefit Calc.'!S8)+('Custom Truck Benefit Calc.'!R8-'Custom Truck Benefit Calc.'!U8)</f>
        <v>0</v>
      </c>
      <c r="D6" s="71">
        <f>('Custom Truck Benefit Calc.'!I8-'Custom Truck Benefit Calc.'!L8)+('Custom Truck Benefit Calc.'!Q8-'Custom Truck Benefit Calc.'!T8)</f>
        <v>0</v>
      </c>
      <c r="E6" s="71">
        <f>'Custom Truck Benefit Calc.'!N8-'Custom Truck Benefit Calc.'!O8</f>
        <v>0</v>
      </c>
      <c r="F6" s="71">
        <f>SUM('Custom Truck Benefit Calc.'!V8:X8)-SUM('Custom Truck Benefit Calc.'!Y8:AA8)</f>
        <v>0</v>
      </c>
      <c r="G6" s="71">
        <f>SUM('Custom Truck Benefit Calc.'!AB8:AD8)-SUM('Custom Truck Benefit Calc.'!AE8:AG8)</f>
        <v>0</v>
      </c>
      <c r="H6" s="72"/>
      <c r="I6" s="70">
        <f t="shared" si="0"/>
        <v>2021</v>
      </c>
      <c r="J6" s="75">
        <f t="shared" si="1"/>
        <v>0</v>
      </c>
      <c r="K6" s="75">
        <f t="shared" si="1"/>
        <v>0</v>
      </c>
      <c r="L6" s="75">
        <f t="shared" si="1"/>
        <v>0</v>
      </c>
      <c r="M6" s="75">
        <f t="shared" si="2"/>
        <v>0</v>
      </c>
      <c r="N6" s="73">
        <f t="shared" si="2"/>
        <v>0</v>
      </c>
      <c r="O6" s="169">
        <f t="shared" si="11"/>
        <v>0</v>
      </c>
      <c r="P6" s="75">
        <f t="shared" si="3"/>
        <v>0</v>
      </c>
      <c r="Q6" s="72"/>
      <c r="R6" s="203">
        <f t="shared" si="4"/>
        <v>2021</v>
      </c>
      <c r="S6" s="75">
        <f t="shared" si="5"/>
        <v>0</v>
      </c>
      <c r="T6" s="75">
        <f t="shared" si="5"/>
        <v>0</v>
      </c>
      <c r="U6" s="75">
        <f t="shared" si="5"/>
        <v>0</v>
      </c>
      <c r="V6" s="75">
        <f t="shared" si="5"/>
        <v>0</v>
      </c>
      <c r="W6" s="75">
        <f t="shared" si="6"/>
        <v>0</v>
      </c>
      <c r="X6" s="75">
        <f t="shared" si="6"/>
        <v>0</v>
      </c>
      <c r="Y6" s="75">
        <f t="shared" si="7"/>
        <v>0</v>
      </c>
      <c r="Z6" s="76">
        <f t="shared" si="12"/>
        <v>0.91514165935315961</v>
      </c>
      <c r="AA6" s="72"/>
      <c r="AB6" s="203">
        <f t="shared" si="8"/>
        <v>2021</v>
      </c>
      <c r="AC6" s="75">
        <f t="shared" si="9"/>
        <v>0</v>
      </c>
      <c r="AD6" s="75">
        <f t="shared" si="9"/>
        <v>0</v>
      </c>
      <c r="AE6" s="75">
        <f t="shared" si="9"/>
        <v>0</v>
      </c>
      <c r="AF6" s="75">
        <f t="shared" si="9"/>
        <v>0</v>
      </c>
      <c r="AG6" s="75">
        <f t="shared" si="9"/>
        <v>0</v>
      </c>
      <c r="AH6" s="75">
        <f t="shared" si="9"/>
        <v>0</v>
      </c>
      <c r="AI6" s="75">
        <f t="shared" si="10"/>
        <v>0</v>
      </c>
      <c r="AJ6" s="76">
        <f t="shared" si="13"/>
        <v>0.81629787689085187</v>
      </c>
    </row>
    <row r="7" spans="1:36" x14ac:dyDescent="0.25">
      <c r="A7" s="70">
        <f>'Custom Truck Benefit Calc.'!A9</f>
        <v>2022</v>
      </c>
      <c r="B7" s="71">
        <f>SUM('Custom Truck Benefit Calc.'!B9:D9)-SUM('Custom Truck Benefit Calc.'!E9:G9)</f>
        <v>0</v>
      </c>
      <c r="C7" s="71">
        <f>('Custom Truck Benefit Calc.'!H9-'Custom Truck Benefit Calc.'!K9)+('Custom Truck Benefit Calc.'!J9-'Custom Truck Benefit Calc.'!M9)+('Custom Truck Benefit Calc.'!P9-'Custom Truck Benefit Calc.'!S9)+('Custom Truck Benefit Calc.'!R9-'Custom Truck Benefit Calc.'!U9)</f>
        <v>0</v>
      </c>
      <c r="D7" s="71">
        <f>('Custom Truck Benefit Calc.'!I9-'Custom Truck Benefit Calc.'!L9)+('Custom Truck Benefit Calc.'!Q9-'Custom Truck Benefit Calc.'!T9)</f>
        <v>0</v>
      </c>
      <c r="E7" s="71">
        <f>'Custom Truck Benefit Calc.'!N9-'Custom Truck Benefit Calc.'!O9</f>
        <v>0</v>
      </c>
      <c r="F7" s="71">
        <f>SUM('Custom Truck Benefit Calc.'!V9:X9)-SUM('Custom Truck Benefit Calc.'!Y9:AA9)</f>
        <v>0</v>
      </c>
      <c r="G7" s="71">
        <f>SUM('Custom Truck Benefit Calc.'!AB9:AD9)-SUM('Custom Truck Benefit Calc.'!AE9:AG9)</f>
        <v>0</v>
      </c>
      <c r="H7" s="72"/>
      <c r="I7" s="70">
        <f t="shared" si="0"/>
        <v>2022</v>
      </c>
      <c r="J7" s="73">
        <f t="shared" si="1"/>
        <v>0</v>
      </c>
      <c r="K7" s="73">
        <f t="shared" si="1"/>
        <v>0</v>
      </c>
      <c r="L7" s="73">
        <f t="shared" si="1"/>
        <v>0</v>
      </c>
      <c r="M7" s="73">
        <f t="shared" si="2"/>
        <v>0</v>
      </c>
      <c r="N7" s="73">
        <f t="shared" si="2"/>
        <v>0</v>
      </c>
      <c r="O7" s="169">
        <f t="shared" si="11"/>
        <v>0</v>
      </c>
      <c r="P7" s="73">
        <f t="shared" si="3"/>
        <v>0</v>
      </c>
      <c r="Q7" s="72"/>
      <c r="R7" s="203">
        <f t="shared" si="4"/>
        <v>2022</v>
      </c>
      <c r="S7" s="75">
        <f t="shared" si="5"/>
        <v>0</v>
      </c>
      <c r="T7" s="75">
        <f t="shared" si="5"/>
        <v>0</v>
      </c>
      <c r="U7" s="75">
        <f t="shared" si="5"/>
        <v>0</v>
      </c>
      <c r="V7" s="75">
        <f t="shared" si="5"/>
        <v>0</v>
      </c>
      <c r="W7" s="75">
        <f t="shared" si="6"/>
        <v>0</v>
      </c>
      <c r="X7" s="75">
        <f t="shared" si="6"/>
        <v>0</v>
      </c>
      <c r="Y7" s="75">
        <f t="shared" si="7"/>
        <v>0</v>
      </c>
      <c r="Z7" s="76">
        <f t="shared" si="12"/>
        <v>0.888487047915689</v>
      </c>
      <c r="AA7" s="72"/>
      <c r="AB7" s="203">
        <f t="shared" si="8"/>
        <v>2022</v>
      </c>
      <c r="AC7" s="75">
        <f t="shared" si="9"/>
        <v>0</v>
      </c>
      <c r="AD7" s="75">
        <f t="shared" si="9"/>
        <v>0</v>
      </c>
      <c r="AE7" s="75">
        <f t="shared" si="9"/>
        <v>0</v>
      </c>
      <c r="AF7" s="75">
        <f t="shared" si="9"/>
        <v>0</v>
      </c>
      <c r="AG7" s="75">
        <f t="shared" si="9"/>
        <v>0</v>
      </c>
      <c r="AH7" s="75">
        <f t="shared" si="9"/>
        <v>0</v>
      </c>
      <c r="AI7" s="75">
        <f t="shared" ref="AI7:AI29" si="14">SUM(AC7:AH7)</f>
        <v>0</v>
      </c>
      <c r="AJ7" s="76">
        <f t="shared" si="13"/>
        <v>0.7628952120475252</v>
      </c>
    </row>
    <row r="8" spans="1:36" x14ac:dyDescent="0.25">
      <c r="A8" s="70">
        <f>'Custom Truck Benefit Calc.'!A10</f>
        <v>2023</v>
      </c>
      <c r="B8" s="71">
        <f>SUM('Custom Truck Benefit Calc.'!B10:D10)-SUM('Custom Truck Benefit Calc.'!E10:G10)</f>
        <v>0</v>
      </c>
      <c r="C8" s="71">
        <f>('Custom Truck Benefit Calc.'!H10-'Custom Truck Benefit Calc.'!K10)+('Custom Truck Benefit Calc.'!J10-'Custom Truck Benefit Calc.'!M10)+('Custom Truck Benefit Calc.'!P10-'Custom Truck Benefit Calc.'!S10)+('Custom Truck Benefit Calc.'!R10-'Custom Truck Benefit Calc.'!U10)</f>
        <v>0</v>
      </c>
      <c r="D8" s="71">
        <f>('Custom Truck Benefit Calc.'!I10-'Custom Truck Benefit Calc.'!L10)+('Custom Truck Benefit Calc.'!Q10-'Custom Truck Benefit Calc.'!T10)</f>
        <v>0</v>
      </c>
      <c r="E8" s="71">
        <f>'Custom Truck Benefit Calc.'!N10-'Custom Truck Benefit Calc.'!O10</f>
        <v>0</v>
      </c>
      <c r="F8" s="71">
        <f>SUM('Custom Truck Benefit Calc.'!V10:X10)-SUM('Custom Truck Benefit Calc.'!Y10:AA10)</f>
        <v>0</v>
      </c>
      <c r="G8" s="71">
        <f>SUM('Custom Truck Benefit Calc.'!AB10:AD10)-SUM('Custom Truck Benefit Calc.'!AE10:AG10)</f>
        <v>0</v>
      </c>
      <c r="H8" s="72"/>
      <c r="I8" s="70">
        <f t="shared" si="0"/>
        <v>2023</v>
      </c>
      <c r="J8" s="75">
        <f t="shared" si="1"/>
        <v>0</v>
      </c>
      <c r="K8" s="75">
        <f t="shared" si="1"/>
        <v>0</v>
      </c>
      <c r="L8" s="75">
        <f t="shared" si="1"/>
        <v>0</v>
      </c>
      <c r="M8" s="75">
        <f t="shared" si="2"/>
        <v>0</v>
      </c>
      <c r="N8" s="73">
        <f t="shared" si="2"/>
        <v>0</v>
      </c>
      <c r="O8" s="169">
        <f t="shared" si="11"/>
        <v>0</v>
      </c>
      <c r="P8" s="75">
        <f t="shared" si="3"/>
        <v>0</v>
      </c>
      <c r="Q8" s="72"/>
      <c r="R8" s="203">
        <f t="shared" si="4"/>
        <v>2023</v>
      </c>
      <c r="S8" s="75">
        <f t="shared" si="5"/>
        <v>0</v>
      </c>
      <c r="T8" s="75">
        <f t="shared" si="5"/>
        <v>0</v>
      </c>
      <c r="U8" s="75">
        <f t="shared" si="5"/>
        <v>0</v>
      </c>
      <c r="V8" s="75">
        <f t="shared" si="5"/>
        <v>0</v>
      </c>
      <c r="W8" s="75">
        <f t="shared" si="6"/>
        <v>0</v>
      </c>
      <c r="X8" s="75">
        <f t="shared" si="6"/>
        <v>0</v>
      </c>
      <c r="Y8" s="75">
        <f t="shared" si="7"/>
        <v>0</v>
      </c>
      <c r="Z8" s="76">
        <f t="shared" si="12"/>
        <v>0.86260878438416411</v>
      </c>
      <c r="AA8" s="72"/>
      <c r="AB8" s="203">
        <f t="shared" si="8"/>
        <v>2023</v>
      </c>
      <c r="AC8" s="75">
        <f t="shared" si="9"/>
        <v>0</v>
      </c>
      <c r="AD8" s="75">
        <f t="shared" si="9"/>
        <v>0</v>
      </c>
      <c r="AE8" s="75">
        <f t="shared" si="9"/>
        <v>0</v>
      </c>
      <c r="AF8" s="75">
        <f t="shared" si="9"/>
        <v>0</v>
      </c>
      <c r="AG8" s="75">
        <f t="shared" si="9"/>
        <v>0</v>
      </c>
      <c r="AH8" s="75">
        <f t="shared" si="9"/>
        <v>0</v>
      </c>
      <c r="AI8" s="75">
        <f t="shared" si="14"/>
        <v>0</v>
      </c>
      <c r="AJ8" s="76">
        <f t="shared" si="13"/>
        <v>0.71298617948366838</v>
      </c>
    </row>
    <row r="9" spans="1:36" x14ac:dyDescent="0.25">
      <c r="A9" s="70">
        <f>'Custom Truck Benefit Calc.'!A11</f>
        <v>2024</v>
      </c>
      <c r="B9" s="71">
        <f>SUM('Custom Truck Benefit Calc.'!B11:D11)-SUM('Custom Truck Benefit Calc.'!E11:G11)</f>
        <v>0</v>
      </c>
      <c r="C9" s="71">
        <f>('Custom Truck Benefit Calc.'!H11-'Custom Truck Benefit Calc.'!K11)+('Custom Truck Benefit Calc.'!J11-'Custom Truck Benefit Calc.'!M11)+('Custom Truck Benefit Calc.'!P11-'Custom Truck Benefit Calc.'!S11)+('Custom Truck Benefit Calc.'!R11-'Custom Truck Benefit Calc.'!U11)</f>
        <v>0</v>
      </c>
      <c r="D9" s="71">
        <f>('Custom Truck Benefit Calc.'!I11-'Custom Truck Benefit Calc.'!L11)+('Custom Truck Benefit Calc.'!Q11-'Custom Truck Benefit Calc.'!T11)</f>
        <v>0</v>
      </c>
      <c r="E9" s="71">
        <f>'Custom Truck Benefit Calc.'!N11-'Custom Truck Benefit Calc.'!O11</f>
        <v>0</v>
      </c>
      <c r="F9" s="71">
        <f>SUM('Custom Truck Benefit Calc.'!V11:X11)-SUM('Custom Truck Benefit Calc.'!Y11:AA11)</f>
        <v>0</v>
      </c>
      <c r="G9" s="71">
        <f>SUM('Custom Truck Benefit Calc.'!AB11:AD11)-SUM('Custom Truck Benefit Calc.'!AE11:AG11)</f>
        <v>0</v>
      </c>
      <c r="H9" s="72"/>
      <c r="I9" s="70">
        <f t="shared" si="0"/>
        <v>2024</v>
      </c>
      <c r="J9" s="75">
        <f t="shared" si="1"/>
        <v>0</v>
      </c>
      <c r="K9" s="75">
        <f t="shared" si="1"/>
        <v>0</v>
      </c>
      <c r="L9" s="75">
        <f t="shared" si="1"/>
        <v>0</v>
      </c>
      <c r="M9" s="75">
        <f>F9/1000000</f>
        <v>0</v>
      </c>
      <c r="N9" s="73">
        <f t="shared" si="2"/>
        <v>0</v>
      </c>
      <c r="O9" s="169">
        <f t="shared" si="11"/>
        <v>0</v>
      </c>
      <c r="P9" s="75">
        <f t="shared" si="3"/>
        <v>0</v>
      </c>
      <c r="Q9" s="72"/>
      <c r="R9" s="203">
        <f t="shared" si="4"/>
        <v>2024</v>
      </c>
      <c r="S9" s="75">
        <f t="shared" si="5"/>
        <v>0</v>
      </c>
      <c r="T9" s="75">
        <f t="shared" si="5"/>
        <v>0</v>
      </c>
      <c r="U9" s="75">
        <f t="shared" si="5"/>
        <v>0</v>
      </c>
      <c r="V9" s="75">
        <f>M9*$Z9</f>
        <v>0</v>
      </c>
      <c r="W9" s="75">
        <f t="shared" si="6"/>
        <v>0</v>
      </c>
      <c r="X9" s="75">
        <f t="shared" si="6"/>
        <v>0</v>
      </c>
      <c r="Y9" s="75">
        <f t="shared" si="7"/>
        <v>0</v>
      </c>
      <c r="Z9" s="76">
        <f t="shared" si="12"/>
        <v>0.83748425668365445</v>
      </c>
      <c r="AA9" s="72"/>
      <c r="AB9" s="203">
        <f t="shared" si="8"/>
        <v>2024</v>
      </c>
      <c r="AC9" s="75">
        <f t="shared" si="9"/>
        <v>0</v>
      </c>
      <c r="AD9" s="75">
        <f t="shared" si="9"/>
        <v>0</v>
      </c>
      <c r="AE9" s="75">
        <f t="shared" si="9"/>
        <v>0</v>
      </c>
      <c r="AF9" s="75">
        <f t="shared" si="9"/>
        <v>0</v>
      </c>
      <c r="AG9" s="75">
        <f t="shared" si="9"/>
        <v>0</v>
      </c>
      <c r="AH9" s="75">
        <f t="shared" si="9"/>
        <v>0</v>
      </c>
      <c r="AI9" s="75">
        <f t="shared" si="14"/>
        <v>0</v>
      </c>
      <c r="AJ9" s="76">
        <f t="shared" si="13"/>
        <v>0.66634222381651254</v>
      </c>
    </row>
    <row r="10" spans="1:36" x14ac:dyDescent="0.25">
      <c r="A10" s="70">
        <f>'Custom Truck Benefit Calc.'!A12</f>
        <v>2025</v>
      </c>
      <c r="B10" s="71">
        <f>SUM('Custom Truck Benefit Calc.'!B12:D12)-SUM('Custom Truck Benefit Calc.'!E12:G12)</f>
        <v>2712374.5410748739</v>
      </c>
      <c r="C10" s="71">
        <f>('Custom Truck Benefit Calc.'!H12-'Custom Truck Benefit Calc.'!K12)+('Custom Truck Benefit Calc.'!J12-'Custom Truck Benefit Calc.'!M12)+('Custom Truck Benefit Calc.'!P12-'Custom Truck Benefit Calc.'!S12)+('Custom Truck Benefit Calc.'!R12-'Custom Truck Benefit Calc.'!U12)</f>
        <v>945587.95941216266</v>
      </c>
      <c r="D10" s="71">
        <f>('Custom Truck Benefit Calc.'!I12-'Custom Truck Benefit Calc.'!L12)+('Custom Truck Benefit Calc.'!Q12-'Custom Truck Benefit Calc.'!T12)</f>
        <v>0</v>
      </c>
      <c r="E10" s="71">
        <f>'Custom Truck Benefit Calc.'!N12-'Custom Truck Benefit Calc.'!O12</f>
        <v>2580410.2482153624</v>
      </c>
      <c r="F10" s="71">
        <f>SUM('Custom Truck Benefit Calc.'!V12:X12)-SUM('Custom Truck Benefit Calc.'!Y12:AA12)</f>
        <v>369448.32823520742</v>
      </c>
      <c r="G10" s="71">
        <f>SUM('Custom Truck Benefit Calc.'!AB12:AD12)-SUM('Custom Truck Benefit Calc.'!AE12:AG12)</f>
        <v>398707.34038263699</v>
      </c>
      <c r="H10" s="72"/>
      <c r="I10" s="70">
        <f t="shared" si="0"/>
        <v>2025</v>
      </c>
      <c r="J10" s="75">
        <f t="shared" si="1"/>
        <v>2.7123745410748739</v>
      </c>
      <c r="K10" s="75">
        <f t="shared" si="1"/>
        <v>0.94558795941216267</v>
      </c>
      <c r="L10" s="75">
        <f t="shared" si="1"/>
        <v>0</v>
      </c>
      <c r="M10" s="75">
        <f t="shared" si="2"/>
        <v>0.3694483282352074</v>
      </c>
      <c r="N10" s="73">
        <f t="shared" si="2"/>
        <v>0.398707340382637</v>
      </c>
      <c r="O10" s="169">
        <f t="shared" si="11"/>
        <v>2.5804102482153626</v>
      </c>
      <c r="P10" s="75">
        <f t="shared" si="3"/>
        <v>7.0065284173202436</v>
      </c>
      <c r="Q10" s="72"/>
      <c r="R10" s="203">
        <f t="shared" si="4"/>
        <v>2025</v>
      </c>
      <c r="S10" s="75">
        <f t="shared" si="5"/>
        <v>2.2054087149318047</v>
      </c>
      <c r="T10" s="75">
        <f t="shared" si="5"/>
        <v>0.7688495430265132</v>
      </c>
      <c r="U10" s="75">
        <f t="shared" si="5"/>
        <v>0</v>
      </c>
      <c r="V10" s="75">
        <f t="shared" si="5"/>
        <v>0.30039529956804023</v>
      </c>
      <c r="W10" s="75">
        <f t="shared" si="6"/>
        <v>0.32418555397540733</v>
      </c>
      <c r="X10" s="75">
        <f t="shared" si="6"/>
        <v>2.0981096686073077</v>
      </c>
      <c r="Y10" s="75">
        <f t="shared" si="7"/>
        <v>5.6969487801090732</v>
      </c>
      <c r="Z10" s="76">
        <f t="shared" si="12"/>
        <v>0.81309151134335378</v>
      </c>
      <c r="AA10" s="72"/>
      <c r="AB10" s="203">
        <f t="shared" si="8"/>
        <v>2025</v>
      </c>
      <c r="AC10" s="75">
        <f t="shared" si="9"/>
        <v>1.689130545348714</v>
      </c>
      <c r="AD10" s="75">
        <f t="shared" si="9"/>
        <v>0.58886465765310148</v>
      </c>
      <c r="AE10" s="75">
        <f t="shared" si="9"/>
        <v>0</v>
      </c>
      <c r="AF10" s="75">
        <f t="shared" si="9"/>
        <v>0.2300738510481691</v>
      </c>
      <c r="AG10" s="75">
        <f t="shared" si="9"/>
        <v>0.248294893310779</v>
      </c>
      <c r="AH10" s="75">
        <f t="shared" si="9"/>
        <v>1.6069498160324707</v>
      </c>
      <c r="AI10" s="75">
        <f t="shared" si="14"/>
        <v>4.3633137633932346</v>
      </c>
      <c r="AJ10" s="76">
        <f t="shared" si="13"/>
        <v>0.62274974188459109</v>
      </c>
    </row>
    <row r="11" spans="1:36" x14ac:dyDescent="0.25">
      <c r="A11" s="70">
        <f>'Custom Truck Benefit Calc.'!A13</f>
        <v>2026</v>
      </c>
      <c r="B11" s="71">
        <f>SUM('Custom Truck Benefit Calc.'!B13:D13)-SUM('Custom Truck Benefit Calc.'!E13:G13)</f>
        <v>2764458.7296666084</v>
      </c>
      <c r="C11" s="71">
        <f>('Custom Truck Benefit Calc.'!H13-'Custom Truck Benefit Calc.'!K13)+('Custom Truck Benefit Calc.'!J13-'Custom Truck Benefit Calc.'!M13)+('Custom Truck Benefit Calc.'!P13-'Custom Truck Benefit Calc.'!S13)+('Custom Truck Benefit Calc.'!R13-'Custom Truck Benefit Calc.'!U13)</f>
        <v>963745.54821941478</v>
      </c>
      <c r="D11" s="71">
        <f>('Custom Truck Benefit Calc.'!I13-'Custom Truck Benefit Calc.'!L13)+('Custom Truck Benefit Calc.'!Q13-'Custom Truck Benefit Calc.'!T13)</f>
        <v>0</v>
      </c>
      <c r="E11" s="71">
        <f>'Custom Truck Benefit Calc.'!N13-'Custom Truck Benefit Calc.'!O13</f>
        <v>2629960.4014028474</v>
      </c>
      <c r="F11" s="71">
        <f>SUM('Custom Truck Benefit Calc.'!V13:X13)-SUM('Custom Truck Benefit Calc.'!Y13:AA13)</f>
        <v>376542.63475936395</v>
      </c>
      <c r="G11" s="71">
        <f>SUM('Custom Truck Benefit Calc.'!AB13:AD13)-SUM('Custom Truck Benefit Calc.'!AE13:AG13)</f>
        <v>406363.49110773881</v>
      </c>
      <c r="H11" s="72"/>
      <c r="I11" s="70">
        <f t="shared" si="0"/>
        <v>2026</v>
      </c>
      <c r="J11" s="73">
        <f t="shared" si="1"/>
        <v>2.7644587296666083</v>
      </c>
      <c r="K11" s="73">
        <f t="shared" si="1"/>
        <v>0.96374554821941483</v>
      </c>
      <c r="L11" s="73">
        <f t="shared" si="1"/>
        <v>0</v>
      </c>
      <c r="M11" s="73">
        <f t="shared" si="2"/>
        <v>0.37654263475936395</v>
      </c>
      <c r="N11" s="73">
        <f t="shared" si="2"/>
        <v>0.40636349110773878</v>
      </c>
      <c r="O11" s="169">
        <f t="shared" si="11"/>
        <v>2.6299604014028475</v>
      </c>
      <c r="P11" s="73">
        <f t="shared" si="3"/>
        <v>7.1410708051559739</v>
      </c>
      <c r="Q11" s="72"/>
      <c r="R11" s="203">
        <f t="shared" si="4"/>
        <v>2026</v>
      </c>
      <c r="S11" s="75">
        <f t="shared" si="5"/>
        <v>2.1822892490785928</v>
      </c>
      <c r="T11" s="75">
        <f t="shared" si="5"/>
        <v>0.76078963529335253</v>
      </c>
      <c r="U11" s="75">
        <f t="shared" si="5"/>
        <v>0</v>
      </c>
      <c r="V11" s="75">
        <f t="shared" si="5"/>
        <v>0.29724623299194147</v>
      </c>
      <c r="W11" s="75">
        <f t="shared" si="6"/>
        <v>0.32078709236849789</v>
      </c>
      <c r="X11" s="75">
        <f t="shared" si="6"/>
        <v>2.0761150267473929</v>
      </c>
      <c r="Y11" s="75">
        <f t="shared" si="7"/>
        <v>5.6372272364797773</v>
      </c>
      <c r="Z11" s="76">
        <f t="shared" si="12"/>
        <v>0.78940923431393573</v>
      </c>
      <c r="AA11" s="72"/>
      <c r="AB11" s="203">
        <f t="shared" si="8"/>
        <v>2026</v>
      </c>
      <c r="AC11" s="75">
        <f t="shared" si="9"/>
        <v>1.6089401498602662</v>
      </c>
      <c r="AD11" s="75">
        <f t="shared" si="9"/>
        <v>0.56090868354772372</v>
      </c>
      <c r="AE11" s="75">
        <f t="shared" si="9"/>
        <v>0</v>
      </c>
      <c r="AF11" s="75">
        <f t="shared" si="9"/>
        <v>0.21915124168685771</v>
      </c>
      <c r="AG11" s="75">
        <f t="shared" si="9"/>
        <v>0.23650725158753799</v>
      </c>
      <c r="AH11" s="75">
        <f t="shared" si="9"/>
        <v>1.5306608982619803</v>
      </c>
      <c r="AI11" s="75">
        <f t="shared" si="14"/>
        <v>4.1561682249443654</v>
      </c>
      <c r="AJ11" s="76">
        <f t="shared" si="13"/>
        <v>0.5820091045650384</v>
      </c>
    </row>
    <row r="12" spans="1:36" x14ac:dyDescent="0.25">
      <c r="A12" s="70">
        <f>'Custom Truck Benefit Calc.'!A14</f>
        <v>2027</v>
      </c>
      <c r="B12" s="71">
        <f>SUM('Custom Truck Benefit Calc.'!B14:D14)-SUM('Custom Truck Benefit Calc.'!E14:G14)</f>
        <v>2817543.0613654908</v>
      </c>
      <c r="C12" s="71">
        <f>('Custom Truck Benefit Calc.'!H14-'Custom Truck Benefit Calc.'!K14)+('Custom Truck Benefit Calc.'!J14-'Custom Truck Benefit Calc.'!M14)+('Custom Truck Benefit Calc.'!P14-'Custom Truck Benefit Calc.'!S14)+('Custom Truck Benefit Calc.'!R14-'Custom Truck Benefit Calc.'!U14)</f>
        <v>982251.80689710181</v>
      </c>
      <c r="D12" s="71">
        <f>('Custom Truck Benefit Calc.'!I14-'Custom Truck Benefit Calc.'!L14)+('Custom Truck Benefit Calc.'!Q14-'Custom Truck Benefit Calc.'!T14)</f>
        <v>0</v>
      </c>
      <c r="E12" s="71">
        <f>'Custom Truck Benefit Calc.'!N14-'Custom Truck Benefit Calc.'!O14</f>
        <v>2680462.0380540956</v>
      </c>
      <c r="F12" s="71">
        <f>SUM('Custom Truck Benefit Calc.'!V14:X14)-SUM('Custom Truck Benefit Calc.'!Y14:AA14)</f>
        <v>383773.16922451317</v>
      </c>
      <c r="G12" s="71">
        <f>SUM('Custom Truck Benefit Calc.'!AB14:AD14)-SUM('Custom Truck Benefit Calc.'!AE14:AG14)</f>
        <v>414166.65854908468</v>
      </c>
      <c r="H12" s="72"/>
      <c r="I12" s="70">
        <f t="shared" si="0"/>
        <v>2027</v>
      </c>
      <c r="J12" s="75">
        <f t="shared" si="1"/>
        <v>2.8175430613654906</v>
      </c>
      <c r="K12" s="75">
        <f t="shared" si="1"/>
        <v>0.98225180689710179</v>
      </c>
      <c r="L12" s="75">
        <f t="shared" si="1"/>
        <v>0</v>
      </c>
      <c r="M12" s="75">
        <f t="shared" si="2"/>
        <v>0.38377316922451316</v>
      </c>
      <c r="N12" s="73">
        <f t="shared" si="2"/>
        <v>0.41416665854908469</v>
      </c>
      <c r="O12" s="169">
        <f t="shared" si="11"/>
        <v>2.6804620380540958</v>
      </c>
      <c r="P12" s="75">
        <f t="shared" si="3"/>
        <v>7.2781967340902849</v>
      </c>
      <c r="Q12" s="72"/>
      <c r="R12" s="203">
        <f t="shared" si="4"/>
        <v>2027</v>
      </c>
      <c r="S12" s="75">
        <f t="shared" si="5"/>
        <v>2.1594121463291986</v>
      </c>
      <c r="T12" s="75">
        <f t="shared" si="5"/>
        <v>0.75281422018069999</v>
      </c>
      <c r="U12" s="75">
        <f t="shared" si="5"/>
        <v>0</v>
      </c>
      <c r="V12" s="75">
        <f t="shared" si="5"/>
        <v>0.29413017831820915</v>
      </c>
      <c r="W12" s="75">
        <f t="shared" si="6"/>
        <v>0.31742425709086819</v>
      </c>
      <c r="X12" s="75">
        <f t="shared" si="6"/>
        <v>2.0543509563765587</v>
      </c>
      <c r="Y12" s="75">
        <f t="shared" si="7"/>
        <v>5.5781317582955339</v>
      </c>
      <c r="Z12" s="76">
        <f t="shared" si="12"/>
        <v>0.76641673234362695</v>
      </c>
      <c r="AA12" s="72"/>
      <c r="AB12" s="203">
        <f t="shared" si="8"/>
        <v>2027</v>
      </c>
      <c r="AC12" s="75">
        <f t="shared" si="9"/>
        <v>1.5325567422605293</v>
      </c>
      <c r="AD12" s="75">
        <f t="shared" si="9"/>
        <v>0.53427990148558246</v>
      </c>
      <c r="AE12" s="75">
        <f t="shared" si="9"/>
        <v>0</v>
      </c>
      <c r="AF12" s="75">
        <f t="shared" si="9"/>
        <v>0.20874717623966904</v>
      </c>
      <c r="AG12" s="75">
        <f t="shared" si="9"/>
        <v>0.22527922063817457</v>
      </c>
      <c r="AH12" s="75">
        <f t="shared" si="9"/>
        <v>1.4579937482134975</v>
      </c>
      <c r="AI12" s="75">
        <f t="shared" si="14"/>
        <v>3.9588567888374526</v>
      </c>
      <c r="AJ12" s="76">
        <f t="shared" si="13"/>
        <v>0.54393374258414806</v>
      </c>
    </row>
    <row r="13" spans="1:36" x14ac:dyDescent="0.25">
      <c r="A13" s="70">
        <f>'Custom Truck Benefit Calc.'!A15</f>
        <v>2028</v>
      </c>
      <c r="B13" s="71">
        <f>SUM('Custom Truck Benefit Calc.'!B15:D15)-SUM('Custom Truck Benefit Calc.'!E15:G15)</f>
        <v>2871646.741351861</v>
      </c>
      <c r="C13" s="71">
        <f>('Custom Truck Benefit Calc.'!H15-'Custom Truck Benefit Calc.'!K15)+('Custom Truck Benefit Calc.'!J15-'Custom Truck Benefit Calc.'!M15)+('Custom Truck Benefit Calc.'!P15-'Custom Truck Benefit Calc.'!S15)+('Custom Truck Benefit Calc.'!R15-'Custom Truck Benefit Calc.'!U15)</f>
        <v>1001113.4307548184</v>
      </c>
      <c r="D13" s="71">
        <f>('Custom Truck Benefit Calc.'!I15-'Custom Truck Benefit Calc.'!L15)+('Custom Truck Benefit Calc.'!Q15-'Custom Truck Benefit Calc.'!T15)</f>
        <v>0</v>
      </c>
      <c r="E13" s="71">
        <f>'Custom Truck Benefit Calc.'!N15-'Custom Truck Benefit Calc.'!O15</f>
        <v>2731933.4289659383</v>
      </c>
      <c r="F13" s="71">
        <f>SUM('Custom Truck Benefit Calc.'!V15:X15)-SUM('Custom Truck Benefit Calc.'!Y15:AA15)</f>
        <v>391142.5475384742</v>
      </c>
      <c r="G13" s="71">
        <f>SUM('Custom Truck Benefit Calc.'!AB15:AD15)-SUM('Custom Truck Benefit Calc.'!AE15:AG15)</f>
        <v>422119.66578522051</v>
      </c>
      <c r="H13" s="72"/>
      <c r="I13" s="70">
        <f t="shared" si="0"/>
        <v>2028</v>
      </c>
      <c r="J13" s="75">
        <f t="shared" si="1"/>
        <v>2.8716467413518609</v>
      </c>
      <c r="K13" s="75">
        <f t="shared" si="1"/>
        <v>1.0011134307548184</v>
      </c>
      <c r="L13" s="75">
        <f t="shared" si="1"/>
        <v>0</v>
      </c>
      <c r="M13" s="75">
        <f t="shared" si="2"/>
        <v>0.39114254753847422</v>
      </c>
      <c r="N13" s="73">
        <f t="shared" si="2"/>
        <v>0.42211966578522053</v>
      </c>
      <c r="O13" s="169">
        <f t="shared" si="11"/>
        <v>2.7319334289659385</v>
      </c>
      <c r="P13" s="75">
        <f t="shared" si="3"/>
        <v>7.4179558143963131</v>
      </c>
      <c r="Q13" s="72"/>
      <c r="R13" s="203">
        <f t="shared" si="4"/>
        <v>2028</v>
      </c>
      <c r="S13" s="75">
        <f t="shared" si="5"/>
        <v>2.1367748659729298</v>
      </c>
      <c r="T13" s="75">
        <f t="shared" si="5"/>
        <v>0.74492241194604436</v>
      </c>
      <c r="U13" s="75">
        <f t="shared" si="5"/>
        <v>0</v>
      </c>
      <c r="V13" s="75">
        <f t="shared" si="5"/>
        <v>0.29104678948058171</v>
      </c>
      <c r="W13" s="75">
        <f t="shared" si="6"/>
        <v>0.31409667466902197</v>
      </c>
      <c r="X13" s="75">
        <f t="shared" si="6"/>
        <v>2.0328150403964997</v>
      </c>
      <c r="Y13" s="75">
        <f t="shared" si="7"/>
        <v>5.5196557824650778</v>
      </c>
      <c r="Z13" s="76">
        <f t="shared" si="12"/>
        <v>0.74409391489672516</v>
      </c>
      <c r="AA13" s="72"/>
      <c r="AB13" s="203">
        <f t="shared" si="8"/>
        <v>2028</v>
      </c>
      <c r="AC13" s="75">
        <f t="shared" si="9"/>
        <v>1.4597995882271875</v>
      </c>
      <c r="AD13" s="75">
        <f t="shared" si="9"/>
        <v>0.50891530387077077</v>
      </c>
      <c r="AE13" s="75">
        <f t="shared" si="9"/>
        <v>0</v>
      </c>
      <c r="AF13" s="75">
        <f t="shared" si="9"/>
        <v>0.19883703716495357</v>
      </c>
      <c r="AG13" s="75">
        <f t="shared" si="9"/>
        <v>0.21458423329806051</v>
      </c>
      <c r="AH13" s="75">
        <f t="shared" si="9"/>
        <v>1.3887764247740071</v>
      </c>
      <c r="AI13" s="75">
        <f t="shared" si="14"/>
        <v>3.7709125873349794</v>
      </c>
      <c r="AJ13" s="76">
        <f t="shared" si="13"/>
        <v>0.5083492921347178</v>
      </c>
    </row>
    <row r="14" spans="1:36" x14ac:dyDescent="0.25">
      <c r="A14" s="70">
        <f>'Custom Truck Benefit Calc.'!A16</f>
        <v>2029</v>
      </c>
      <c r="B14" s="71">
        <f>SUM('Custom Truck Benefit Calc.'!B16:D16)-SUM('Custom Truck Benefit Calc.'!E16:G16)</f>
        <v>2926789.3435922358</v>
      </c>
      <c r="C14" s="71">
        <f>('Custom Truck Benefit Calc.'!H16-'Custom Truck Benefit Calc.'!K16)+('Custom Truck Benefit Calc.'!J16-'Custom Truck Benefit Calc.'!M16)+('Custom Truck Benefit Calc.'!P16-'Custom Truck Benefit Calc.'!S16)+('Custom Truck Benefit Calc.'!R16-'Custom Truck Benefit Calc.'!U16)</f>
        <v>1020337.2436683878</v>
      </c>
      <c r="D14" s="71">
        <f>('Custom Truck Benefit Calc.'!I16-'Custom Truck Benefit Calc.'!L16)+('Custom Truck Benefit Calc.'!Q16-'Custom Truck Benefit Calc.'!T16)</f>
        <v>0</v>
      </c>
      <c r="E14" s="71">
        <f>'Custom Truck Benefit Calc.'!N16-'Custom Truck Benefit Calc.'!O16</f>
        <v>2784393.1957789455</v>
      </c>
      <c r="F14" s="71">
        <f>SUM('Custom Truck Benefit Calc.'!V16:X16)-SUM('Custom Truck Benefit Calc.'!Y16:AA16)</f>
        <v>398653.43584085896</v>
      </c>
      <c r="G14" s="71">
        <f>SUM('Custom Truck Benefit Calc.'!AB16:AD16)-SUM('Custom Truck Benefit Calc.'!AE16:AG16)</f>
        <v>430225.39010466676</v>
      </c>
      <c r="H14" s="72"/>
      <c r="I14" s="70">
        <f t="shared" si="0"/>
        <v>2029</v>
      </c>
      <c r="J14" s="75">
        <f t="shared" si="1"/>
        <v>2.9267893435922359</v>
      </c>
      <c r="K14" s="75">
        <f t="shared" si="1"/>
        <v>1.0203372436683877</v>
      </c>
      <c r="L14" s="75">
        <f t="shared" si="1"/>
        <v>0</v>
      </c>
      <c r="M14" s="75">
        <f t="shared" si="2"/>
        <v>0.39865343584085894</v>
      </c>
      <c r="N14" s="73">
        <f t="shared" si="2"/>
        <v>0.43022539010466676</v>
      </c>
      <c r="O14" s="169">
        <f t="shared" si="11"/>
        <v>2.7843931957789456</v>
      </c>
      <c r="P14" s="75">
        <f t="shared" si="3"/>
        <v>7.5603986089850954</v>
      </c>
      <c r="Q14" s="72"/>
      <c r="R14" s="203">
        <f t="shared" si="4"/>
        <v>2029</v>
      </c>
      <c r="S14" s="75">
        <f t="shared" si="5"/>
        <v>2.1143748939335567</v>
      </c>
      <c r="T14" s="75">
        <f t="shared" si="5"/>
        <v>0.73711333413217905</v>
      </c>
      <c r="U14" s="75">
        <f t="shared" si="5"/>
        <v>0</v>
      </c>
      <c r="V14" s="75">
        <f t="shared" si="5"/>
        <v>0.28799572404063611</v>
      </c>
      <c r="W14" s="75">
        <f t="shared" si="6"/>
        <v>0.31080397554461386</v>
      </c>
      <c r="X14" s="75">
        <f t="shared" si="6"/>
        <v>2.0115048870475336</v>
      </c>
      <c r="Y14" s="75">
        <f t="shared" si="7"/>
        <v>5.4617928146985193</v>
      </c>
      <c r="Z14" s="76">
        <f>1/((1+0.03)^(R14-$Z$1))</f>
        <v>0.72242127659876232</v>
      </c>
      <c r="AA14" s="72"/>
      <c r="AB14" s="203">
        <f t="shared" si="8"/>
        <v>2029</v>
      </c>
      <c r="AC14" s="75">
        <f t="shared" si="9"/>
        <v>1.3904965336846244</v>
      </c>
      <c r="AD14" s="75">
        <f t="shared" si="9"/>
        <v>0.48475487435281672</v>
      </c>
      <c r="AE14" s="75">
        <f t="shared" si="9"/>
        <v>0</v>
      </c>
      <c r="AF14" s="75">
        <f t="shared" si="9"/>
        <v>0.18939737562315304</v>
      </c>
      <c r="AG14" s="75">
        <f t="shared" si="9"/>
        <v>0.20439698366176648</v>
      </c>
      <c r="AH14" s="75">
        <f t="shared" si="9"/>
        <v>1.3228451496251883</v>
      </c>
      <c r="AI14" s="75">
        <f t="shared" si="14"/>
        <v>3.5918909169475488</v>
      </c>
      <c r="AJ14" s="76">
        <f t="shared" si="13"/>
        <v>0.47509279638758667</v>
      </c>
    </row>
    <row r="15" spans="1:36" x14ac:dyDescent="0.25">
      <c r="A15" s="70">
        <f>'Custom Truck Benefit Calc.'!A17</f>
        <v>2030</v>
      </c>
      <c r="B15" s="71">
        <f>SUM('Custom Truck Benefit Calc.'!B17:D17)-SUM('Custom Truck Benefit Calc.'!E17:G17)</f>
        <v>2982990.8179208981</v>
      </c>
      <c r="C15" s="71">
        <f>('Custom Truck Benefit Calc.'!H17-'Custom Truck Benefit Calc.'!K17)+('Custom Truck Benefit Calc.'!J17-'Custom Truck Benefit Calc.'!M17)+('Custom Truck Benefit Calc.'!P17-'Custom Truck Benefit Calc.'!S17)+('Custom Truck Benefit Calc.'!R17-'Custom Truck Benefit Calc.'!U17)</f>
        <v>1039930.2005486476</v>
      </c>
      <c r="D15" s="71">
        <f>('Custom Truck Benefit Calc.'!I17-'Custom Truck Benefit Calc.'!L17)+('Custom Truck Benefit Calc.'!Q17-'Custom Truck Benefit Calc.'!T17)</f>
        <v>0</v>
      </c>
      <c r="E15" s="71">
        <f>'Custom Truck Benefit Calc.'!N17-'Custom Truck Benefit Calc.'!O17</f>
        <v>2837860.3177144811</v>
      </c>
      <c r="F15" s="71">
        <f>SUM('Custom Truck Benefit Calc.'!V17:X17)-SUM('Custom Truck Benefit Calc.'!Y17:AA17)</f>
        <v>406308.55146764469</v>
      </c>
      <c r="G15" s="71">
        <f>SUM('Custom Truck Benefit Calc.'!AB17:AD17)-SUM('Custom Truck Benefit Calc.'!AE17:AG17)</f>
        <v>438486.76404688199</v>
      </c>
      <c r="H15" s="72"/>
      <c r="I15" s="70">
        <f t="shared" si="0"/>
        <v>2030</v>
      </c>
      <c r="J15" s="73">
        <f t="shared" si="1"/>
        <v>2.9829908179208982</v>
      </c>
      <c r="K15" s="73">
        <f t="shared" si="1"/>
        <v>1.0399302005486475</v>
      </c>
      <c r="L15" s="73">
        <f t="shared" si="1"/>
        <v>0</v>
      </c>
      <c r="M15" s="73">
        <f t="shared" si="2"/>
        <v>0.40630855146764472</v>
      </c>
      <c r="N15" s="73">
        <f t="shared" si="2"/>
        <v>0.43848676404688197</v>
      </c>
      <c r="O15" s="169">
        <f t="shared" si="11"/>
        <v>2.837860317714481</v>
      </c>
      <c r="P15" s="73">
        <f t="shared" si="3"/>
        <v>7.7055766516985535</v>
      </c>
      <c r="Q15" s="72"/>
      <c r="R15" s="203">
        <f t="shared" si="4"/>
        <v>2030</v>
      </c>
      <c r="S15" s="75">
        <f t="shared" si="5"/>
        <v>2.0922097424900987</v>
      </c>
      <c r="T15" s="75">
        <f t="shared" si="5"/>
        <v>0.72938611946986498</v>
      </c>
      <c r="U15" s="75">
        <f t="shared" si="5"/>
        <v>0</v>
      </c>
      <c r="V15" s="75">
        <f t="shared" si="5"/>
        <v>0.28497664314975718</v>
      </c>
      <c r="W15" s="75">
        <f t="shared" si="6"/>
        <v>0.30754579403340659</v>
      </c>
      <c r="X15" s="75">
        <f t="shared" si="6"/>
        <v>1.9904181296429757</v>
      </c>
      <c r="Y15" s="75">
        <f t="shared" si="7"/>
        <v>5.4045364287861037</v>
      </c>
      <c r="Z15" s="76">
        <f t="shared" si="12"/>
        <v>0.70137988019297326</v>
      </c>
      <c r="AA15" s="72"/>
      <c r="AB15" s="203">
        <f t="shared" si="8"/>
        <v>2030</v>
      </c>
      <c r="AC15" s="75">
        <f t="shared" si="9"/>
        <v>1.3244835974621814</v>
      </c>
      <c r="AD15" s="75">
        <f t="shared" si="9"/>
        <v>0.46174144581921572</v>
      </c>
      <c r="AE15" s="75">
        <f t="shared" si="9"/>
        <v>0</v>
      </c>
      <c r="AF15" s="75">
        <f t="shared" si="9"/>
        <v>0.18040585599341405</v>
      </c>
      <c r="AG15" s="75">
        <f t="shared" si="9"/>
        <v>0.19469336720558605</v>
      </c>
      <c r="AH15" s="75">
        <f t="shared" si="9"/>
        <v>1.2600439197199422</v>
      </c>
      <c r="AI15" s="75">
        <f t="shared" si="14"/>
        <v>3.4213681862003398</v>
      </c>
      <c r="AJ15" s="76">
        <f t="shared" si="13"/>
        <v>0.44401195924073528</v>
      </c>
    </row>
    <row r="16" spans="1:36" x14ac:dyDescent="0.25">
      <c r="A16" s="70">
        <f>'Custom Truck Benefit Calc.'!A18</f>
        <v>2031</v>
      </c>
      <c r="B16" s="71">
        <f>SUM('Custom Truck Benefit Calc.'!B18:D18)-SUM('Custom Truck Benefit Calc.'!E18:G18)</f>
        <v>3040271.4972574748</v>
      </c>
      <c r="C16" s="71">
        <f>('Custom Truck Benefit Calc.'!H18-'Custom Truck Benefit Calc.'!K18)+('Custom Truck Benefit Calc.'!J18-'Custom Truck Benefit Calc.'!M18)+('Custom Truck Benefit Calc.'!P18-'Custom Truck Benefit Calc.'!S18)+('Custom Truck Benefit Calc.'!R18-'Custom Truck Benefit Calc.'!U18)</f>
        <v>1059899.38985764</v>
      </c>
      <c r="D16" s="71">
        <f>('Custom Truck Benefit Calc.'!I18-'Custom Truck Benefit Calc.'!L18)+('Custom Truck Benefit Calc.'!Q18-'Custom Truck Benefit Calc.'!T18)</f>
        <v>0</v>
      </c>
      <c r="E16" s="71">
        <f>'Custom Truck Benefit Calc.'!N18-'Custom Truck Benefit Calc.'!O18</f>
        <v>2892354.1384411217</v>
      </c>
      <c r="F16" s="71">
        <f>SUM('Custom Truck Benefit Calc.'!V18:X18)-SUM('Custom Truck Benefit Calc.'!Y18:AA18)</f>
        <v>414110.66393426934</v>
      </c>
      <c r="G16" s="71">
        <f>SUM('Custom Truck Benefit Calc.'!AB18:AD18)-SUM('Custom Truck Benefit Calc.'!AE18:AG18)</f>
        <v>446906.77646321541</v>
      </c>
      <c r="H16" s="72"/>
      <c r="I16" s="70">
        <f t="shared" si="0"/>
        <v>2031</v>
      </c>
      <c r="J16" s="75">
        <f t="shared" si="1"/>
        <v>3.0402714972574749</v>
      </c>
      <c r="K16" s="75">
        <f t="shared" si="1"/>
        <v>1.0598993898576401</v>
      </c>
      <c r="L16" s="75">
        <f t="shared" si="1"/>
        <v>0</v>
      </c>
      <c r="M16" s="75">
        <f t="shared" si="2"/>
        <v>0.41411066393426932</v>
      </c>
      <c r="N16" s="73">
        <f t="shared" si="2"/>
        <v>0.44690677646321542</v>
      </c>
      <c r="O16" s="169">
        <f t="shared" si="11"/>
        <v>2.8923541384411218</v>
      </c>
      <c r="P16" s="75">
        <f t="shared" si="3"/>
        <v>7.8535424659537219</v>
      </c>
      <c r="Q16" s="72"/>
      <c r="R16" s="203">
        <f t="shared" si="4"/>
        <v>2031</v>
      </c>
      <c r="S16" s="75">
        <f t="shared" si="5"/>
        <v>2.0702769500005429</v>
      </c>
      <c r="T16" s="75">
        <f t="shared" si="5"/>
        <v>0.7217399097815117</v>
      </c>
      <c r="U16" s="75">
        <f t="shared" si="5"/>
        <v>0</v>
      </c>
      <c r="V16" s="75">
        <f t="shared" si="5"/>
        <v>0.28198921151150524</v>
      </c>
      <c r="W16" s="75">
        <f t="shared" si="6"/>
        <v>0.30432176828465818</v>
      </c>
      <c r="X16" s="75">
        <f t="shared" si="6"/>
        <v>1.9695524263062956</v>
      </c>
      <c r="Y16" s="75">
        <f t="shared" si="7"/>
        <v>5.3478802658845135</v>
      </c>
      <c r="Z16" s="76">
        <f t="shared" si="12"/>
        <v>0.68095133999317792</v>
      </c>
      <c r="AA16" s="72"/>
      <c r="AB16" s="203">
        <f t="shared" si="8"/>
        <v>2031</v>
      </c>
      <c r="AC16" s="75">
        <f t="shared" si="9"/>
        <v>1.2616045832907057</v>
      </c>
      <c r="AD16" s="75">
        <f t="shared" si="9"/>
        <v>0.43982056512967349</v>
      </c>
      <c r="AE16" s="75">
        <f t="shared" si="9"/>
        <v>0</v>
      </c>
      <c r="AF16" s="75">
        <f t="shared" si="9"/>
        <v>0.1718412030242398</v>
      </c>
      <c r="AG16" s="75">
        <f t="shared" si="9"/>
        <v>0.18545042375270426</v>
      </c>
      <c r="AH16" s="75">
        <f t="shared" si="9"/>
        <v>1.200224138156347</v>
      </c>
      <c r="AI16" s="75">
        <f t="shared" si="14"/>
        <v>3.25894091335367</v>
      </c>
      <c r="AJ16" s="76">
        <f t="shared" si="13"/>
        <v>0.41496444788853759</v>
      </c>
    </row>
    <row r="17" spans="1:36" x14ac:dyDescent="0.25">
      <c r="A17" s="70">
        <f>'Custom Truck Benefit Calc.'!A19</f>
        <v>2032</v>
      </c>
      <c r="B17" s="71">
        <f>SUM('Custom Truck Benefit Calc.'!B19:D19)-SUM('Custom Truck Benefit Calc.'!E19:G19)</f>
        <v>3098652.1049631061</v>
      </c>
      <c r="C17" s="71">
        <f>('Custom Truck Benefit Calc.'!H19-'Custom Truck Benefit Calc.'!K19)+('Custom Truck Benefit Calc.'!J19-'Custom Truck Benefit Calc.'!M19)+('Custom Truck Benefit Calc.'!P19-'Custom Truck Benefit Calc.'!S19)+('Custom Truck Benefit Calc.'!R19-'Custom Truck Benefit Calc.'!U19)</f>
        <v>1080252.0361731201</v>
      </c>
      <c r="D17" s="71">
        <f>('Custom Truck Benefit Calc.'!I19-'Custom Truck Benefit Calc.'!L19)+('Custom Truck Benefit Calc.'!Q19-'Custom Truck Benefit Calc.'!T19)</f>
        <v>0</v>
      </c>
      <c r="E17" s="71">
        <f>'Custom Truck Benefit Calc.'!N19-'Custom Truck Benefit Calc.'!O19</f>
        <v>2947894.3730729334</v>
      </c>
      <c r="F17" s="71">
        <f>SUM('Custom Truck Benefit Calc.'!V19:X19)-SUM('Custom Truck Benefit Calc.'!Y19:AA19)</f>
        <v>422062.59593760298</v>
      </c>
      <c r="G17" s="71">
        <f>SUM('Custom Truck Benefit Calc.'!AB19:AD19)-SUM('Custom Truck Benefit Calc.'!AE19:AG19)</f>
        <v>455488.47359823209</v>
      </c>
      <c r="H17" s="72"/>
      <c r="I17" s="70">
        <f t="shared" si="0"/>
        <v>2032</v>
      </c>
      <c r="J17" s="75">
        <f t="shared" si="1"/>
        <v>3.0986521049631062</v>
      </c>
      <c r="K17" s="75">
        <f t="shared" si="1"/>
        <v>1.08025203617312</v>
      </c>
      <c r="L17" s="75">
        <f t="shared" si="1"/>
        <v>0</v>
      </c>
      <c r="M17" s="75">
        <f t="shared" si="2"/>
        <v>0.42206259593760298</v>
      </c>
      <c r="N17" s="73">
        <f t="shared" si="2"/>
        <v>0.45548847359823208</v>
      </c>
      <c r="O17" s="169">
        <f t="shared" si="11"/>
        <v>2.9478943730729332</v>
      </c>
      <c r="P17" s="75">
        <f t="shared" si="3"/>
        <v>8.0043495837449932</v>
      </c>
      <c r="Q17" s="72"/>
      <c r="R17" s="203">
        <f t="shared" si="4"/>
        <v>2032</v>
      </c>
      <c r="S17" s="75">
        <f t="shared" si="5"/>
        <v>2.0485740806284545</v>
      </c>
      <c r="T17" s="75">
        <f t="shared" si="5"/>
        <v>0.71417385588586879</v>
      </c>
      <c r="U17" s="75">
        <f t="shared" si="5"/>
        <v>0</v>
      </c>
      <c r="V17" s="75">
        <f t="shared" si="5"/>
        <v>0.27903309734437853</v>
      </c>
      <c r="W17" s="75">
        <f t="shared" si="6"/>
        <v>0.30113154024093525</v>
      </c>
      <c r="X17" s="75">
        <f t="shared" si="6"/>
        <v>1.9489054597110318</v>
      </c>
      <c r="Y17" s="75">
        <f t="shared" si="7"/>
        <v>5.2918180338106691</v>
      </c>
      <c r="Z17" s="76">
        <f t="shared" si="12"/>
        <v>0.66111780581861923</v>
      </c>
      <c r="AA17" s="72"/>
      <c r="AB17" s="203">
        <f t="shared" si="8"/>
        <v>2032</v>
      </c>
      <c r="AC17" s="75">
        <f t="shared" si="9"/>
        <v>1.2017107102193181</v>
      </c>
      <c r="AD17" s="75">
        <f t="shared" si="9"/>
        <v>0.41894036427200687</v>
      </c>
      <c r="AE17" s="75">
        <f t="shared" si="9"/>
        <v>0</v>
      </c>
      <c r="AF17" s="75">
        <f t="shared" si="9"/>
        <v>0.16368315149313117</v>
      </c>
      <c r="AG17" s="75">
        <f t="shared" si="9"/>
        <v>0.17664628314605899</v>
      </c>
      <c r="AH17" s="75">
        <f t="shared" si="9"/>
        <v>1.1432442625756416</v>
      </c>
      <c r="AI17" s="75">
        <f t="shared" si="14"/>
        <v>3.1042247717061566</v>
      </c>
      <c r="AJ17" s="76">
        <f t="shared" si="13"/>
        <v>0.3878172410173249</v>
      </c>
    </row>
    <row r="18" spans="1:36" x14ac:dyDescent="0.25">
      <c r="A18" s="70">
        <f>'Custom Truck Benefit Calc.'!A20</f>
        <v>2033</v>
      </c>
      <c r="B18" s="71">
        <f>SUM('Custom Truck Benefit Calc.'!B20:D20)-SUM('Custom Truck Benefit Calc.'!E20:G20)</f>
        <v>3158153.7623378709</v>
      </c>
      <c r="C18" s="71">
        <f>('Custom Truck Benefit Calc.'!H20-'Custom Truck Benefit Calc.'!K20)+('Custom Truck Benefit Calc.'!J20-'Custom Truck Benefit Calc.'!M20)+('Custom Truck Benefit Calc.'!P20-'Custom Truck Benefit Calc.'!S20)+('Custom Truck Benefit Calc.'!R20-'Custom Truck Benefit Calc.'!U20)</f>
        <v>1100995.5028023084</v>
      </c>
      <c r="D18" s="71">
        <f>('Custom Truck Benefit Calc.'!I20-'Custom Truck Benefit Calc.'!L20)+('Custom Truck Benefit Calc.'!Q20-'Custom Truck Benefit Calc.'!T20)</f>
        <v>0</v>
      </c>
      <c r="E18" s="71">
        <f>'Custom Truck Benefit Calc.'!N20-'Custom Truck Benefit Calc.'!O20</f>
        <v>3004501.1153021245</v>
      </c>
      <c r="F18" s="71">
        <f>SUM('Custom Truck Benefit Calc.'!V20:X20)-SUM('Custom Truck Benefit Calc.'!Y20:AA20)</f>
        <v>430167.224377162</v>
      </c>
      <c r="G18" s="71">
        <f>SUM('Custom Truck Benefit Calc.'!AB20:AD20)-SUM('Custom Truck Benefit Calc.'!AE20:AG20)</f>
        <v>464234.96019180195</v>
      </c>
      <c r="H18" s="72"/>
      <c r="I18" s="70">
        <f t="shared" si="0"/>
        <v>2033</v>
      </c>
      <c r="J18" s="75">
        <f t="shared" si="1"/>
        <v>3.158153762337871</v>
      </c>
      <c r="K18" s="75">
        <f t="shared" si="1"/>
        <v>1.1009955028023084</v>
      </c>
      <c r="L18" s="75">
        <f t="shared" si="1"/>
        <v>0</v>
      </c>
      <c r="M18" s="75">
        <f t="shared" si="2"/>
        <v>0.43016722437716198</v>
      </c>
      <c r="N18" s="73">
        <f t="shared" si="2"/>
        <v>0.46423496019180194</v>
      </c>
      <c r="O18" s="169">
        <f t="shared" si="11"/>
        <v>3.0045011153021246</v>
      </c>
      <c r="P18" s="75">
        <f t="shared" si="3"/>
        <v>8.1580525650112676</v>
      </c>
      <c r="Q18" s="72"/>
      <c r="R18" s="203">
        <f t="shared" si="4"/>
        <v>2033</v>
      </c>
      <c r="S18" s="75">
        <f t="shared" si="5"/>
        <v>2.0270987240724567</v>
      </c>
      <c r="T18" s="75">
        <f t="shared" si="5"/>
        <v>0.70668711750371793</v>
      </c>
      <c r="U18" s="75">
        <f t="shared" si="5"/>
        <v>0</v>
      </c>
      <c r="V18" s="75">
        <f t="shared" si="5"/>
        <v>0.27610797234496598</v>
      </c>
      <c r="W18" s="75">
        <f t="shared" si="6"/>
        <v>0.29797475559834768</v>
      </c>
      <c r="X18" s="75">
        <f t="shared" si="6"/>
        <v>1.9284749368234317</v>
      </c>
      <c r="Y18" s="75">
        <f t="shared" si="7"/>
        <v>5.2363435063429202</v>
      </c>
      <c r="Z18" s="76">
        <f t="shared" si="12"/>
        <v>0.64186194739671765</v>
      </c>
      <c r="AA18" s="72"/>
      <c r="AB18" s="203">
        <f t="shared" si="8"/>
        <v>2033</v>
      </c>
      <c r="AC18" s="75">
        <f t="shared" si="9"/>
        <v>1.1446602605779042</v>
      </c>
      <c r="AD18" s="75">
        <f t="shared" si="9"/>
        <v>0.39905143763483514</v>
      </c>
      <c r="AE18" s="75">
        <f t="shared" si="9"/>
        <v>0</v>
      </c>
      <c r="AF18" s="75">
        <f t="shared" si="9"/>
        <v>0.1559123982561042</v>
      </c>
      <c r="AG18" s="75">
        <f t="shared" si="9"/>
        <v>0.16826011350034792</v>
      </c>
      <c r="AH18" s="75">
        <f t="shared" si="9"/>
        <v>1.0889694702522854</v>
      </c>
      <c r="AI18" s="75">
        <f t="shared" si="14"/>
        <v>2.9568536802214767</v>
      </c>
      <c r="AJ18" s="76">
        <f t="shared" si="13"/>
        <v>0.36244601964235967</v>
      </c>
    </row>
    <row r="19" spans="1:36" x14ac:dyDescent="0.25">
      <c r="A19" s="70">
        <f>'Custom Truck Benefit Calc.'!A21</f>
        <v>2034</v>
      </c>
      <c r="B19" s="71">
        <f>SUM('Custom Truck Benefit Calc.'!B21:D21)-SUM('Custom Truck Benefit Calc.'!E21:G21)</f>
        <v>3218797.9962621862</v>
      </c>
      <c r="C19" s="71">
        <f>('Custom Truck Benefit Calc.'!H21-'Custom Truck Benefit Calc.'!K21)+('Custom Truck Benefit Calc.'!J21-'Custom Truck Benefit Calc.'!M21)+('Custom Truck Benefit Calc.'!P21-'Custom Truck Benefit Calc.'!S21)+('Custom Truck Benefit Calc.'!R21-'Custom Truck Benefit Calc.'!U21)</f>
        <v>1122137.2944458337</v>
      </c>
      <c r="D19" s="71">
        <f>('Custom Truck Benefit Calc.'!I21-'Custom Truck Benefit Calc.'!L21)+('Custom Truck Benefit Calc.'!Q21-'Custom Truck Benefit Calc.'!T21)</f>
        <v>0</v>
      </c>
      <c r="E19" s="71">
        <f>'Custom Truck Benefit Calc.'!N21-'Custom Truck Benefit Calc.'!O21</f>
        <v>3062194.8446686664</v>
      </c>
      <c r="F19" s="71">
        <f>SUM('Custom Truck Benefit Calc.'!V21:X21)-SUM('Custom Truck Benefit Calc.'!Y21:AA21)</f>
        <v>438427.48139593058</v>
      </c>
      <c r="G19" s="71">
        <f>SUM('Custom Truck Benefit Calc.'!AB21:AD21)-SUM('Custom Truck Benefit Calc.'!AE21:AG21)</f>
        <v>473149.4006023524</v>
      </c>
      <c r="H19" s="72"/>
      <c r="I19" s="70">
        <f t="shared" si="0"/>
        <v>2034</v>
      </c>
      <c r="J19" s="73">
        <f t="shared" ref="J19:L29" si="15">B19/1000000</f>
        <v>3.218797996262186</v>
      </c>
      <c r="K19" s="73">
        <f t="shared" si="15"/>
        <v>1.1221372944458337</v>
      </c>
      <c r="L19" s="73">
        <f t="shared" si="15"/>
        <v>0</v>
      </c>
      <c r="M19" s="73">
        <f t="shared" ref="M19:N29" si="16">F19/1000000</f>
        <v>0.43842748139593057</v>
      </c>
      <c r="N19" s="73">
        <f t="shared" si="16"/>
        <v>0.47314940060235239</v>
      </c>
      <c r="O19" s="169">
        <f t="shared" si="11"/>
        <v>3.0621948446686664</v>
      </c>
      <c r="P19" s="73">
        <f t="shared" si="3"/>
        <v>8.3147070173749675</v>
      </c>
      <c r="Q19" s="72"/>
      <c r="R19" s="203">
        <f t="shared" si="4"/>
        <v>2034</v>
      </c>
      <c r="S19" s="75">
        <f t="shared" ref="S19:X29" si="17">J19*$Z19</f>
        <v>2.0058484952985434</v>
      </c>
      <c r="T19" s="75">
        <f t="shared" si="17"/>
        <v>0.69927886316455035</v>
      </c>
      <c r="U19" s="75">
        <f t="shared" si="17"/>
        <v>0</v>
      </c>
      <c r="V19" s="75">
        <f t="shared" si="17"/>
        <v>0.27321351165148566</v>
      </c>
      <c r="W19" s="75">
        <f t="shared" si="17"/>
        <v>0.29485106376719966</v>
      </c>
      <c r="X19" s="75">
        <f t="shared" si="17"/>
        <v>1.9082585886477863</v>
      </c>
      <c r="Y19" s="75">
        <f t="shared" si="7"/>
        <v>5.1814505225295653</v>
      </c>
      <c r="Z19" s="76">
        <f t="shared" si="12"/>
        <v>0.62316693922011435</v>
      </c>
      <c r="AA19" s="72"/>
      <c r="AB19" s="203">
        <f t="shared" si="8"/>
        <v>2034</v>
      </c>
      <c r="AC19" s="75">
        <f t="shared" ref="AC19:AH29" si="18">J19*$AJ19</f>
        <v>1.0903182446523667</v>
      </c>
      <c r="AD19" s="75">
        <f t="shared" si="18"/>
        <v>0.38010672510667198</v>
      </c>
      <c r="AE19" s="75">
        <f t="shared" si="18"/>
        <v>0</v>
      </c>
      <c r="AF19" s="75">
        <f t="shared" si="18"/>
        <v>0.14851055657362594</v>
      </c>
      <c r="AG19" s="75">
        <f t="shared" si="18"/>
        <v>0.16027207191073919</v>
      </c>
      <c r="AH19" s="75">
        <f t="shared" si="18"/>
        <v>1.0372713390836563</v>
      </c>
      <c r="AI19" s="75">
        <f t="shared" si="14"/>
        <v>2.8164789373270605</v>
      </c>
      <c r="AJ19" s="76">
        <f t="shared" si="13"/>
        <v>0.33873459779659787</v>
      </c>
    </row>
    <row r="20" spans="1:36" x14ac:dyDescent="0.25">
      <c r="A20" s="70">
        <f>'Custom Truck Benefit Calc.'!A22</f>
        <v>2035</v>
      </c>
      <c r="B20" s="71">
        <f>SUM('Custom Truck Benefit Calc.'!B22:D22)-SUM('Custom Truck Benefit Calc.'!E22:G22)</f>
        <v>3280606.7469849312</v>
      </c>
      <c r="C20" s="71">
        <f>('Custom Truck Benefit Calc.'!H22-'Custom Truck Benefit Calc.'!K22)+('Custom Truck Benefit Calc.'!J22-'Custom Truck Benefit Calc.'!M22)+('Custom Truck Benefit Calc.'!P22-'Custom Truck Benefit Calc.'!S22)+('Custom Truck Benefit Calc.'!R22-'Custom Truck Benefit Calc.'!U22)</f>
        <v>1143685.0599128306</v>
      </c>
      <c r="D20" s="71">
        <f>('Custom Truck Benefit Calc.'!I22-'Custom Truck Benefit Calc.'!L22)+('Custom Truck Benefit Calc.'!Q22-'Custom Truck Benefit Calc.'!T22)</f>
        <v>0</v>
      </c>
      <c r="E20" s="71">
        <f>'Custom Truck Benefit Calc.'!N22-'Custom Truck Benefit Calc.'!O22</f>
        <v>3120996.433969514</v>
      </c>
      <c r="F20" s="71">
        <f>SUM('Custom Truck Benefit Calc.'!V22:X22)-SUM('Custom Truck Benefit Calc.'!Y22:AA22)</f>
        <v>446846.35544117057</v>
      </c>
      <c r="G20" s="71">
        <f>SUM('Custom Truck Benefit Calc.'!AB22:AD22)-SUM('Custom Truck Benefit Calc.'!AE22:AG22)</f>
        <v>482235.01995168941</v>
      </c>
      <c r="H20" s="72"/>
      <c r="I20" s="70">
        <f t="shared" si="0"/>
        <v>2035</v>
      </c>
      <c r="J20" s="75">
        <f t="shared" si="15"/>
        <v>3.2806067469849314</v>
      </c>
      <c r="K20" s="75">
        <f t="shared" si="15"/>
        <v>1.1436850599128305</v>
      </c>
      <c r="L20" s="75">
        <f t="shared" si="15"/>
        <v>0</v>
      </c>
      <c r="M20" s="75">
        <f t="shared" si="16"/>
        <v>0.44684635544117057</v>
      </c>
      <c r="N20" s="73">
        <f t="shared" si="16"/>
        <v>0.48223501995168938</v>
      </c>
      <c r="O20" s="169">
        <f t="shared" si="11"/>
        <v>3.120996433969514</v>
      </c>
      <c r="P20" s="75">
        <f t="shared" si="3"/>
        <v>8.4743696162601356</v>
      </c>
      <c r="Q20" s="72"/>
      <c r="R20" s="203">
        <f t="shared" si="4"/>
        <v>2035</v>
      </c>
      <c r="S20" s="75">
        <f t="shared" si="17"/>
        <v>1.9848210342751997</v>
      </c>
      <c r="T20" s="75">
        <f t="shared" si="17"/>
        <v>0.69194827011422499</v>
      </c>
      <c r="U20" s="75">
        <f t="shared" si="17"/>
        <v>0</v>
      </c>
      <c r="V20" s="75">
        <f t="shared" si="17"/>
        <v>0.27034939380770634</v>
      </c>
      <c r="W20" s="75">
        <f t="shared" si="17"/>
        <v>0.29176011783305345</v>
      </c>
      <c r="X20" s="75">
        <f t="shared" si="17"/>
        <v>1.8882541699744406</v>
      </c>
      <c r="Y20" s="75">
        <f t="shared" si="7"/>
        <v>5.1271329860046251</v>
      </c>
      <c r="Z20" s="76">
        <f t="shared" si="12"/>
        <v>0.60501644584477121</v>
      </c>
      <c r="AA20" s="72"/>
      <c r="AB20" s="203">
        <f t="shared" si="8"/>
        <v>2035</v>
      </c>
      <c r="AC20" s="75">
        <f t="shared" si="18"/>
        <v>1.0385560812792021</v>
      </c>
      <c r="AD20" s="75">
        <f t="shared" si="18"/>
        <v>0.36206140072481363</v>
      </c>
      <c r="AE20" s="75">
        <f t="shared" si="18"/>
        <v>0</v>
      </c>
      <c r="AF20" s="75">
        <f t="shared" si="18"/>
        <v>0.14146011260489769</v>
      </c>
      <c r="AG20" s="75">
        <f t="shared" si="18"/>
        <v>0.15266325750165408</v>
      </c>
      <c r="AH20" s="75">
        <f t="shared" si="18"/>
        <v>0.98802754372456036</v>
      </c>
      <c r="AI20" s="75">
        <f t="shared" si="14"/>
        <v>2.6827683958351281</v>
      </c>
      <c r="AJ20" s="76">
        <f t="shared" si="13"/>
        <v>0.31657439046411018</v>
      </c>
    </row>
    <row r="21" spans="1:36" x14ac:dyDescent="0.25">
      <c r="A21" s="70">
        <f>'Custom Truck Benefit Calc.'!A23</f>
        <v>2036</v>
      </c>
      <c r="B21" s="71">
        <f>SUM('Custom Truck Benefit Calc.'!B23:D23)-SUM('Custom Truck Benefit Calc.'!E23:G23)</f>
        <v>3343602.3760611308</v>
      </c>
      <c r="C21" s="71">
        <f>('Custom Truck Benefit Calc.'!H23-'Custom Truck Benefit Calc.'!K23)+('Custom Truck Benefit Calc.'!J23-'Custom Truck Benefit Calc.'!M23)+('Custom Truck Benefit Calc.'!P23-'Custom Truck Benefit Calc.'!S23)+('Custom Truck Benefit Calc.'!R23-'Custom Truck Benefit Calc.'!U23)</f>
        <v>1165646.5948881747</v>
      </c>
      <c r="D21" s="71">
        <f>('Custom Truck Benefit Calc.'!I23-'Custom Truck Benefit Calc.'!L23)+('Custom Truck Benefit Calc.'!Q23-'Custom Truck Benefit Calc.'!T23)</f>
        <v>0</v>
      </c>
      <c r="E21" s="71">
        <f>'Custom Truck Benefit Calc.'!N23-'Custom Truck Benefit Calc.'!O23</f>
        <v>3180927.1568100918</v>
      </c>
      <c r="F21" s="71">
        <f>SUM('Custom Truck Benefit Calc.'!V23:X23)-SUM('Custom Truck Benefit Calc.'!Y23:AA23)</f>
        <v>455426.89234559971</v>
      </c>
      <c r="G21" s="71">
        <f>SUM('Custom Truck Benefit Calc.'!AB23:AD23)-SUM('Custom Truck Benefit Calc.'!AE23:AG23)</f>
        <v>491495.1052918022</v>
      </c>
      <c r="H21" s="72"/>
      <c r="I21" s="70">
        <f t="shared" si="0"/>
        <v>2036</v>
      </c>
      <c r="J21" s="75">
        <f t="shared" si="15"/>
        <v>3.3436023760611309</v>
      </c>
      <c r="K21" s="75">
        <f t="shared" si="15"/>
        <v>1.1656465948881747</v>
      </c>
      <c r="L21" s="75">
        <f t="shared" si="15"/>
        <v>0</v>
      </c>
      <c r="M21" s="75">
        <f t="shared" si="16"/>
        <v>0.45542689234559969</v>
      </c>
      <c r="N21" s="73">
        <f t="shared" si="16"/>
        <v>0.49149510529180218</v>
      </c>
      <c r="O21" s="169">
        <f t="shared" si="11"/>
        <v>3.1809271568100916</v>
      </c>
      <c r="P21" s="75">
        <f t="shared" si="3"/>
        <v>8.6370981253967987</v>
      </c>
      <c r="Q21" s="72"/>
      <c r="R21" s="203">
        <f t="shared" si="4"/>
        <v>2036</v>
      </c>
      <c r="S21" s="75">
        <f t="shared" si="17"/>
        <v>1.9640140057112985</v>
      </c>
      <c r="T21" s="75">
        <f t="shared" si="17"/>
        <v>0.68469452422359545</v>
      </c>
      <c r="U21" s="75">
        <f t="shared" si="17"/>
        <v>0</v>
      </c>
      <c r="V21" s="75">
        <f t="shared" si="17"/>
        <v>0.26751530072724655</v>
      </c>
      <c r="W21" s="75">
        <f t="shared" si="17"/>
        <v>0.28870157451820172</v>
      </c>
      <c r="X21" s="75">
        <f t="shared" si="17"/>
        <v>1.8684594591304415</v>
      </c>
      <c r="Y21" s="75">
        <f t="shared" si="7"/>
        <v>5.0733848643107837</v>
      </c>
      <c r="Z21" s="76">
        <f t="shared" si="12"/>
        <v>0.5873946076162827</v>
      </c>
      <c r="AA21" s="72"/>
      <c r="AB21" s="203">
        <f t="shared" si="8"/>
        <v>2036</v>
      </c>
      <c r="AC21" s="75">
        <f t="shared" si="18"/>
        <v>0.9892512936036475</v>
      </c>
      <c r="AD21" s="75">
        <f t="shared" si="18"/>
        <v>0.34487276661055083</v>
      </c>
      <c r="AE21" s="75">
        <f t="shared" si="18"/>
        <v>0</v>
      </c>
      <c r="AF21" s="75">
        <f t="shared" si="18"/>
        <v>0.13474438396754404</v>
      </c>
      <c r="AG21" s="75">
        <f t="shared" si="18"/>
        <v>0.14541566670452888</v>
      </c>
      <c r="AH21" s="75">
        <f t="shared" si="18"/>
        <v>0.94112156614756037</v>
      </c>
      <c r="AI21" s="75">
        <f t="shared" si="14"/>
        <v>2.5554056770338316</v>
      </c>
      <c r="AJ21" s="76">
        <f t="shared" si="13"/>
        <v>0.29586391632159825</v>
      </c>
    </row>
    <row r="22" spans="1:36" x14ac:dyDescent="0.25">
      <c r="A22" s="70">
        <f>'Custom Truck Benefit Calc.'!A24</f>
        <v>2037</v>
      </c>
      <c r="B22" s="71">
        <f>SUM('Custom Truck Benefit Calc.'!B24:D24)-SUM('Custom Truck Benefit Calc.'!E24:G24)</f>
        <v>3407807.6744420566</v>
      </c>
      <c r="C22" s="71">
        <f>('Custom Truck Benefit Calc.'!H24-'Custom Truck Benefit Calc.'!K24)+('Custom Truck Benefit Calc.'!J24-'Custom Truck Benefit Calc.'!M24)+('Custom Truck Benefit Calc.'!P24-'Custom Truck Benefit Calc.'!S24)+('Custom Truck Benefit Calc.'!R24-'Custom Truck Benefit Calc.'!U24)</f>
        <v>1188029.8447528521</v>
      </c>
      <c r="D22" s="71">
        <f>('Custom Truck Benefit Calc.'!I24-'Custom Truck Benefit Calc.'!L24)+('Custom Truck Benefit Calc.'!Q24-'Custom Truck Benefit Calc.'!T24)</f>
        <v>0</v>
      </c>
      <c r="E22" s="71">
        <f>'Custom Truck Benefit Calc.'!N24-'Custom Truck Benefit Calc.'!O24</f>
        <v>3242008.6953007937</v>
      </c>
      <c r="F22" s="71">
        <f>SUM('Custom Truck Benefit Calc.'!V24:X24)-SUM('Custom Truck Benefit Calc.'!Y24:AA24)</f>
        <v>464172.19642933278</v>
      </c>
      <c r="G22" s="71">
        <f>SUM('Custom Truck Benefit Calc.'!AB24:AD24)-SUM('Custom Truck Benefit Calc.'!AE24:AG24)</f>
        <v>500933.00679407339</v>
      </c>
      <c r="H22" s="72"/>
      <c r="I22" s="70">
        <f t="shared" si="0"/>
        <v>2037</v>
      </c>
      <c r="J22" s="75">
        <f t="shared" si="15"/>
        <v>3.4078076744420565</v>
      </c>
      <c r="K22" s="75">
        <f t="shared" si="15"/>
        <v>1.1880298447528521</v>
      </c>
      <c r="L22" s="75">
        <f t="shared" si="15"/>
        <v>0</v>
      </c>
      <c r="M22" s="75">
        <f t="shared" si="16"/>
        <v>0.46417219642933277</v>
      </c>
      <c r="N22" s="73">
        <f t="shared" si="16"/>
        <v>0.50093300679407338</v>
      </c>
      <c r="O22" s="169">
        <f t="shared" si="11"/>
        <v>3.2420086953007936</v>
      </c>
      <c r="P22" s="75">
        <f t="shared" si="3"/>
        <v>8.8029514177191093</v>
      </c>
      <c r="Q22" s="72"/>
      <c r="R22" s="203">
        <f t="shared" si="4"/>
        <v>2037</v>
      </c>
      <c r="S22" s="75">
        <f t="shared" si="17"/>
        <v>1.9434250987967463</v>
      </c>
      <c r="T22" s="75">
        <f t="shared" si="17"/>
        <v>0.67751681989809209</v>
      </c>
      <c r="U22" s="75">
        <f t="shared" si="17"/>
        <v>0</v>
      </c>
      <c r="V22" s="75">
        <f t="shared" si="17"/>
        <v>0.26471091765824856</v>
      </c>
      <c r="W22" s="75">
        <f t="shared" si="17"/>
        <v>0.28567509414354314</v>
      </c>
      <c r="X22" s="75">
        <f t="shared" si="17"/>
        <v>1.8488722577328023</v>
      </c>
      <c r="Y22" s="75">
        <f t="shared" si="7"/>
        <v>5.0202001882294329</v>
      </c>
      <c r="Z22" s="76">
        <f t="shared" si="12"/>
        <v>0.57028602681192497</v>
      </c>
      <c r="AA22" s="72"/>
      <c r="AB22" s="203">
        <f t="shared" si="8"/>
        <v>2037</v>
      </c>
      <c r="AC22" s="75">
        <f t="shared" si="18"/>
        <v>0.9422872192815186</v>
      </c>
      <c r="AD22" s="75">
        <f t="shared" si="18"/>
        <v>0.32850015193973758</v>
      </c>
      <c r="AE22" s="75">
        <f t="shared" si="18"/>
        <v>0</v>
      </c>
      <c r="AF22" s="75">
        <f t="shared" si="18"/>
        <v>0.12834748026465476</v>
      </c>
      <c r="AG22" s="75">
        <f t="shared" si="18"/>
        <v>0.13851215065873676</v>
      </c>
      <c r="AH22" s="75">
        <f t="shared" si="18"/>
        <v>0.8964424199442691</v>
      </c>
      <c r="AI22" s="75">
        <f t="shared" si="14"/>
        <v>2.4340894220889169</v>
      </c>
      <c r="AJ22" s="76">
        <f t="shared" si="13"/>
        <v>0.27650833301083949</v>
      </c>
    </row>
    <row r="23" spans="1:36" x14ac:dyDescent="0.25">
      <c r="A23" s="70">
        <f>'Custom Truck Benefit Calc.'!A25</f>
        <v>2038</v>
      </c>
      <c r="B23" s="71">
        <f>SUM('Custom Truck Benefit Calc.'!B25:D25)-SUM('Custom Truck Benefit Calc.'!E25:G25)</f>
        <v>3473245.8707206808</v>
      </c>
      <c r="C23" s="71">
        <f>('Custom Truck Benefit Calc.'!H25-'Custom Truck Benefit Calc.'!K25)+('Custom Truck Benefit Calc.'!J25-'Custom Truck Benefit Calc.'!M25)+('Custom Truck Benefit Calc.'!P25-'Custom Truck Benefit Calc.'!S25)+('Custom Truck Benefit Calc.'!R25-'Custom Truck Benefit Calc.'!U25)</f>
        <v>1210842.9074584898</v>
      </c>
      <c r="D23" s="71">
        <f>('Custom Truck Benefit Calc.'!I25-'Custom Truck Benefit Calc.'!L25)+('Custom Truck Benefit Calc.'!Q25-'Custom Truck Benefit Calc.'!T25)</f>
        <v>0</v>
      </c>
      <c r="E23" s="71">
        <f>'Custom Truck Benefit Calc.'!N25-'Custom Truck Benefit Calc.'!O25</f>
        <v>3304263.1479012719</v>
      </c>
      <c r="F23" s="71">
        <f>SUM('Custom Truck Benefit Calc.'!V25:X25)-SUM('Custom Truck Benefit Calc.'!Y25:AA25)</f>
        <v>473085.43162298138</v>
      </c>
      <c r="G23" s="71">
        <f>SUM('Custom Truck Benefit Calc.'!AB25:AD25)-SUM('Custom Truck Benefit Calc.'!AE25:AG25)</f>
        <v>510552.13896132482</v>
      </c>
      <c r="H23" s="72"/>
      <c r="I23" s="70">
        <f t="shared" si="0"/>
        <v>2038</v>
      </c>
      <c r="J23" s="73">
        <f t="shared" si="15"/>
        <v>3.4732458707206808</v>
      </c>
      <c r="K23" s="73">
        <f t="shared" si="15"/>
        <v>1.2108429074584897</v>
      </c>
      <c r="L23" s="73">
        <f t="shared" si="15"/>
        <v>0</v>
      </c>
      <c r="M23" s="73">
        <f t="shared" si="16"/>
        <v>0.47308543162298139</v>
      </c>
      <c r="N23" s="73">
        <f t="shared" si="16"/>
        <v>0.51055213896132479</v>
      </c>
      <c r="O23" s="169">
        <f t="shared" si="11"/>
        <v>3.3042631479012718</v>
      </c>
      <c r="P23" s="73">
        <f t="shared" si="3"/>
        <v>8.9719894966647473</v>
      </c>
      <c r="Q23" s="72"/>
      <c r="R23" s="203">
        <f t="shared" si="4"/>
        <v>2038</v>
      </c>
      <c r="S23" s="75">
        <f t="shared" si="17"/>
        <v>1.9230520269458466</v>
      </c>
      <c r="T23" s="75">
        <f t="shared" si="17"/>
        <v>0.67041435998825383</v>
      </c>
      <c r="U23" s="75">
        <f t="shared" si="17"/>
        <v>0</v>
      </c>
      <c r="V23" s="75">
        <f t="shared" si="17"/>
        <v>0.26193593314842201</v>
      </c>
      <c r="W23" s="75">
        <f t="shared" si="17"/>
        <v>0.282680340590858</v>
      </c>
      <c r="X23" s="75">
        <f t="shared" si="17"/>
        <v>1.82949039044435</v>
      </c>
      <c r="Y23" s="75">
        <f t="shared" si="7"/>
        <v>4.9675730511177303</v>
      </c>
      <c r="Z23" s="76">
        <f t="shared" si="12"/>
        <v>0.55367575418633497</v>
      </c>
      <c r="AA23" s="72"/>
      <c r="AB23" s="203">
        <f t="shared" si="8"/>
        <v>2038</v>
      </c>
      <c r="AC23" s="75">
        <f t="shared" si="18"/>
        <v>0.8975527344390255</v>
      </c>
      <c r="AD23" s="75">
        <f t="shared" si="18"/>
        <v>0.31290481670966841</v>
      </c>
      <c r="AE23" s="75">
        <f t="shared" si="18"/>
        <v>0</v>
      </c>
      <c r="AF23" s="75">
        <f t="shared" si="18"/>
        <v>0.12225426548577951</v>
      </c>
      <c r="AG23" s="75">
        <f t="shared" si="18"/>
        <v>0.13193637463487329</v>
      </c>
      <c r="AH23" s="75">
        <f t="shared" si="18"/>
        <v>0.85388438771526143</v>
      </c>
      <c r="AI23" s="75">
        <f t="shared" si="14"/>
        <v>2.3185325789846081</v>
      </c>
      <c r="AJ23" s="76">
        <f t="shared" si="13"/>
        <v>0.2584190028138687</v>
      </c>
    </row>
    <row r="24" spans="1:36" x14ac:dyDescent="0.25">
      <c r="A24" s="70">
        <f>'Custom Truck Benefit Calc.'!A26</f>
        <v>2039</v>
      </c>
      <c r="B24" s="71">
        <f>SUM('Custom Truck Benefit Calc.'!B26:D26)-SUM('Custom Truck Benefit Calc.'!E26:G26)</f>
        <v>3539940.6395354588</v>
      </c>
      <c r="C24" s="71">
        <f>('Custom Truck Benefit Calc.'!H26-'Custom Truck Benefit Calc.'!K26)+('Custom Truck Benefit Calc.'!J26-'Custom Truck Benefit Calc.'!M26)+('Custom Truck Benefit Calc.'!P26-'Custom Truck Benefit Calc.'!S26)+('Custom Truck Benefit Calc.'!R26-'Custom Truck Benefit Calc.'!U26)</f>
        <v>1234094.036457083</v>
      </c>
      <c r="D24" s="71">
        <f>('Custom Truck Benefit Calc.'!I26-'Custom Truck Benefit Calc.'!L26)+('Custom Truck Benefit Calc.'!Q26-'Custom Truck Benefit Calc.'!T26)</f>
        <v>0</v>
      </c>
      <c r="E24" s="71">
        <f>'Custom Truck Benefit Calc.'!N26-'Custom Truck Benefit Calc.'!O26</f>
        <v>3367713.0374153531</v>
      </c>
      <c r="F24" s="71">
        <f>SUM('Custom Truck Benefit Calc.'!V26:X26)-SUM('Custom Truck Benefit Calc.'!Y26:AA26)</f>
        <v>482169.82261232048</v>
      </c>
      <c r="G24" s="71">
        <f>SUM('Custom Truck Benefit Calc.'!AB26:AD26)-SUM('Custom Truck Benefit Calc.'!AE26:AG26)</f>
        <v>520355.98186313774</v>
      </c>
      <c r="H24" s="72"/>
      <c r="I24" s="70">
        <f t="shared" si="0"/>
        <v>2039</v>
      </c>
      <c r="J24" s="75">
        <f t="shared" si="15"/>
        <v>3.5399406395354589</v>
      </c>
      <c r="K24" s="75">
        <f t="shared" si="15"/>
        <v>1.2340940364570829</v>
      </c>
      <c r="L24" s="75">
        <f t="shared" si="15"/>
        <v>0</v>
      </c>
      <c r="M24" s="75">
        <f t="shared" si="16"/>
        <v>0.4821698226123205</v>
      </c>
      <c r="N24" s="73">
        <f t="shared" si="16"/>
        <v>0.5203559818631377</v>
      </c>
      <c r="O24" s="169">
        <f t="shared" si="11"/>
        <v>3.3677130374153532</v>
      </c>
      <c r="P24" s="75">
        <f t="shared" si="3"/>
        <v>9.1442735178833541</v>
      </c>
      <c r="Q24" s="72"/>
      <c r="R24" s="203">
        <f t="shared" si="4"/>
        <v>2039</v>
      </c>
      <c r="S24" s="75">
        <f t="shared" si="17"/>
        <v>1.9028925275433517</v>
      </c>
      <c r="T24" s="75">
        <f t="shared" si="17"/>
        <v>0.66338635570119786</v>
      </c>
      <c r="U24" s="75">
        <f t="shared" si="17"/>
        <v>0</v>
      </c>
      <c r="V24" s="75">
        <f t="shared" si="17"/>
        <v>0.25919003901045429</v>
      </c>
      <c r="W24" s="75">
        <f t="shared" si="17"/>
        <v>0.27971698126547923</v>
      </c>
      <c r="X24" s="75">
        <f t="shared" si="17"/>
        <v>1.8103117047321347</v>
      </c>
      <c r="Y24" s="75">
        <f t="shared" si="7"/>
        <v>4.9154976082526174</v>
      </c>
      <c r="Z24" s="76">
        <f t="shared" si="12"/>
        <v>0.5375492759090631</v>
      </c>
      <c r="AA24" s="72"/>
      <c r="AB24" s="203">
        <f t="shared" si="8"/>
        <v>2039</v>
      </c>
      <c r="AC24" s="75">
        <f t="shared" si="18"/>
        <v>0.85494199073742239</v>
      </c>
      <c r="AD24" s="75">
        <f t="shared" si="18"/>
        <v>0.29804986007456213</v>
      </c>
      <c r="AE24" s="75">
        <f t="shared" si="18"/>
        <v>0</v>
      </c>
      <c r="AF24" s="75">
        <f t="shared" si="18"/>
        <v>0.11645032219291199</v>
      </c>
      <c r="AG24" s="75">
        <f t="shared" si="18"/>
        <v>0.12567277938439589</v>
      </c>
      <c r="AH24" s="75">
        <f t="shared" si="18"/>
        <v>0.81334677092723406</v>
      </c>
      <c r="AI24" s="75">
        <f t="shared" si="14"/>
        <v>2.2084617233165265</v>
      </c>
      <c r="AJ24" s="76">
        <f t="shared" si="13"/>
        <v>0.24151308674193336</v>
      </c>
    </row>
    <row r="25" spans="1:36" x14ac:dyDescent="0.25">
      <c r="A25" s="70">
        <f>'Custom Truck Benefit Calc.'!A27</f>
        <v>2040</v>
      </c>
      <c r="B25" s="71">
        <f>SUM('Custom Truck Benefit Calc.'!B27:D27)-SUM('Custom Truck Benefit Calc.'!E27:G27)</f>
        <v>3607916.110135491</v>
      </c>
      <c r="C25" s="71">
        <f>('Custom Truck Benefit Calc.'!H27-'Custom Truck Benefit Calc.'!K27)+('Custom Truck Benefit Calc.'!J27-'Custom Truck Benefit Calc.'!M27)+('Custom Truck Benefit Calc.'!P27-'Custom Truck Benefit Calc.'!S27)+('Custom Truck Benefit Calc.'!R27-'Custom Truck Benefit Calc.'!U27)</f>
        <v>1257791.6436869802</v>
      </c>
      <c r="D25" s="71">
        <f>('Custom Truck Benefit Calc.'!I27-'Custom Truck Benefit Calc.'!L27)+('Custom Truck Benefit Calc.'!Q27-'Custom Truck Benefit Calc.'!T27)</f>
        <v>0</v>
      </c>
      <c r="E25" s="71">
        <f>'Custom Truck Benefit Calc.'!N27-'Custom Truck Benefit Calc.'!O27</f>
        <v>3432381.319139482</v>
      </c>
      <c r="F25" s="71">
        <f>SUM('Custom Truck Benefit Calc.'!V27:X27)-SUM('Custom Truck Benefit Calc.'!Y27:AA27)</f>
        <v>491428.65600493568</v>
      </c>
      <c r="G25" s="71">
        <f>SUM('Custom Truck Benefit Calc.'!AB27:AD27)-SUM('Custom Truck Benefit Calc.'!AE27:AG27)</f>
        <v>530348.08239489421</v>
      </c>
      <c r="H25" s="72"/>
      <c r="I25" s="70">
        <f t="shared" si="0"/>
        <v>2040</v>
      </c>
      <c r="J25" s="75">
        <f t="shared" si="15"/>
        <v>3.6079161101354909</v>
      </c>
      <c r="K25" s="75">
        <f t="shared" si="15"/>
        <v>1.2577916436869803</v>
      </c>
      <c r="L25" s="75">
        <f t="shared" si="15"/>
        <v>0</v>
      </c>
      <c r="M25" s="75">
        <f t="shared" si="16"/>
        <v>0.49142865600493568</v>
      </c>
      <c r="N25" s="73">
        <f t="shared" si="16"/>
        <v>0.53034808239489417</v>
      </c>
      <c r="O25" s="169">
        <f t="shared" si="11"/>
        <v>3.4323813191394819</v>
      </c>
      <c r="P25" s="75">
        <f t="shared" si="3"/>
        <v>9.3198658113617832</v>
      </c>
      <c r="Q25" s="72"/>
      <c r="R25" s="203">
        <f t="shared" si="4"/>
        <v>2040</v>
      </c>
      <c r="S25" s="75">
        <f t="shared" si="17"/>
        <v>1.8829443616931814</v>
      </c>
      <c r="T25" s="75">
        <f t="shared" si="17"/>
        <v>0.65643202651301602</v>
      </c>
      <c r="U25" s="75">
        <f t="shared" si="17"/>
        <v>0</v>
      </c>
      <c r="V25" s="75">
        <f t="shared" si="17"/>
        <v>0.25647293028778373</v>
      </c>
      <c r="W25" s="75">
        <f t="shared" si="17"/>
        <v>0.27678468705935488</v>
      </c>
      <c r="X25" s="75">
        <f t="shared" si="17"/>
        <v>1.7913340706283722</v>
      </c>
      <c r="Y25" s="75">
        <f t="shared" si="7"/>
        <v>4.8639680761817079</v>
      </c>
      <c r="Z25" s="76">
        <f t="shared" si="12"/>
        <v>0.52189250088258554</v>
      </c>
      <c r="AA25" s="72"/>
      <c r="AB25" s="203">
        <f t="shared" si="8"/>
        <v>2040</v>
      </c>
      <c r="AC25" s="75">
        <f t="shared" si="18"/>
        <v>0.81435416492034729</v>
      </c>
      <c r="AD25" s="75">
        <f t="shared" si="18"/>
        <v>0.28390013303275946</v>
      </c>
      <c r="AE25" s="75">
        <f t="shared" si="18"/>
        <v>0</v>
      </c>
      <c r="AF25" s="75">
        <f t="shared" si="18"/>
        <v>0.11092191740672128</v>
      </c>
      <c r="AG25" s="75">
        <f t="shared" si="18"/>
        <v>0.11970654432416458</v>
      </c>
      <c r="AH25" s="75">
        <f t="shared" si="18"/>
        <v>0.77473365164553776</v>
      </c>
      <c r="AI25" s="75">
        <f t="shared" si="14"/>
        <v>2.1036164113295301</v>
      </c>
      <c r="AJ25" s="76">
        <f t="shared" si="13"/>
        <v>0.22571316517937698</v>
      </c>
    </row>
    <row r="26" spans="1:36" x14ac:dyDescent="0.25">
      <c r="A26" s="70">
        <f>'Custom Truck Benefit Calc.'!A28</f>
        <v>2041</v>
      </c>
      <c r="B26" s="71">
        <f>SUM('Custom Truck Benefit Calc.'!B28:D28)-SUM('Custom Truck Benefit Calc.'!E28:G28)</f>
        <v>3677196.8751101485</v>
      </c>
      <c r="C26" s="71">
        <f>('Custom Truck Benefit Calc.'!H28-'Custom Truck Benefit Calc.'!K28)+('Custom Truck Benefit Calc.'!J28-'Custom Truck Benefit Calc.'!M28)+('Custom Truck Benefit Calc.'!P28-'Custom Truck Benefit Calc.'!S28)+('Custom Truck Benefit Calc.'!R28-'Custom Truck Benefit Calc.'!U28)</f>
        <v>1281944.3026162074</v>
      </c>
      <c r="D26" s="71">
        <f>('Custom Truck Benefit Calc.'!I28-'Custom Truck Benefit Calc.'!L28)+('Custom Truck Benefit Calc.'!Q28-'Custom Truck Benefit Calc.'!T28)</f>
        <v>0</v>
      </c>
      <c r="E26" s="71">
        <f>'Custom Truck Benefit Calc.'!N28-'Custom Truck Benefit Calc.'!O28</f>
        <v>3498291.3891676283</v>
      </c>
      <c r="F26" s="71">
        <f>SUM('Custom Truck Benefit Calc.'!V28:X28)-SUM('Custom Truck Benefit Calc.'!Y28:AA28)</f>
        <v>500865.28151927202</v>
      </c>
      <c r="G26" s="71">
        <f>SUM('Custom Truck Benefit Calc.'!AB28:AD28)-SUM('Custom Truck Benefit Calc.'!AE28:AG28)</f>
        <v>540532.05556099466</v>
      </c>
      <c r="H26" s="72"/>
      <c r="I26" s="70">
        <f t="shared" si="0"/>
        <v>2041</v>
      </c>
      <c r="J26" s="75">
        <f t="shared" si="15"/>
        <v>3.6771968751101483</v>
      </c>
      <c r="K26" s="75">
        <f t="shared" si="15"/>
        <v>1.2819443026162074</v>
      </c>
      <c r="L26" s="75">
        <f t="shared" si="15"/>
        <v>0</v>
      </c>
      <c r="M26" s="75">
        <f t="shared" si="16"/>
        <v>0.50086528151927201</v>
      </c>
      <c r="N26" s="73">
        <f t="shared" si="16"/>
        <v>0.54053205556099471</v>
      </c>
      <c r="O26" s="169">
        <f t="shared" si="11"/>
        <v>3.4982913891676284</v>
      </c>
      <c r="P26" s="75">
        <f t="shared" si="3"/>
        <v>9.4988299039742508</v>
      </c>
      <c r="Q26" s="72"/>
      <c r="R26" s="203">
        <f t="shared" si="4"/>
        <v>2041</v>
      </c>
      <c r="S26" s="75">
        <f t="shared" si="17"/>
        <v>1.8632053139697706</v>
      </c>
      <c r="T26" s="75">
        <f t="shared" si="17"/>
        <v>0.64955060008209176</v>
      </c>
      <c r="U26" s="75">
        <f t="shared" si="17"/>
        <v>0</v>
      </c>
      <c r="V26" s="75">
        <f t="shared" si="17"/>
        <v>0.25378430522073114</v>
      </c>
      <c r="W26" s="75">
        <f t="shared" si="17"/>
        <v>0.27388313231449729</v>
      </c>
      <c r="X26" s="75">
        <f t="shared" si="17"/>
        <v>1.7725553804938909</v>
      </c>
      <c r="Y26" s="75">
        <f t="shared" si="7"/>
        <v>4.8129787320809818</v>
      </c>
      <c r="Z26" s="76">
        <f t="shared" si="12"/>
        <v>0.50669174842969467</v>
      </c>
      <c r="AA26" s="72"/>
      <c r="AB26" s="203">
        <f t="shared" si="8"/>
        <v>2041</v>
      </c>
      <c r="AC26" s="75">
        <f t="shared" si="18"/>
        <v>0.77569322025123899</v>
      </c>
      <c r="AD26" s="75">
        <f t="shared" si="18"/>
        <v>0.2704221552590404</v>
      </c>
      <c r="AE26" s="75">
        <f t="shared" si="18"/>
        <v>0</v>
      </c>
      <c r="AF26" s="75">
        <f t="shared" si="18"/>
        <v>0.1056559701123127</v>
      </c>
      <c r="AG26" s="75">
        <f t="shared" si="18"/>
        <v>0.11402355246877287</v>
      </c>
      <c r="AH26" s="75">
        <f t="shared" si="18"/>
        <v>0.73795366557830377</v>
      </c>
      <c r="AI26" s="75">
        <f t="shared" si="14"/>
        <v>2.003748563669669</v>
      </c>
      <c r="AJ26" s="76">
        <f t="shared" si="13"/>
        <v>0.21094688334521211</v>
      </c>
    </row>
    <row r="27" spans="1:36" x14ac:dyDescent="0.25">
      <c r="A27" s="70">
        <f>'Custom Truck Benefit Calc.'!A29</f>
        <v>2042</v>
      </c>
      <c r="B27" s="71">
        <f>SUM('Custom Truck Benefit Calc.'!B29:D29)-SUM('Custom Truck Benefit Calc.'!E29:G29)</f>
        <v>3747807.9992863387</v>
      </c>
      <c r="C27" s="71">
        <f>('Custom Truck Benefit Calc.'!H29-'Custom Truck Benefit Calc.'!K29)+('Custom Truck Benefit Calc.'!J29-'Custom Truck Benefit Calc.'!M29)+('Custom Truck Benefit Calc.'!P29-'Custom Truck Benefit Calc.'!S29)+('Custom Truck Benefit Calc.'!R29-'Custom Truck Benefit Calc.'!U29)</f>
        <v>1306560.7513442293</v>
      </c>
      <c r="D27" s="71">
        <f>('Custom Truck Benefit Calc.'!I29-'Custom Truck Benefit Calc.'!L29)+('Custom Truck Benefit Calc.'!Q29-'Custom Truck Benefit Calc.'!T29)</f>
        <v>0</v>
      </c>
      <c r="E27" s="71">
        <f>'Custom Truck Benefit Calc.'!N29-'Custom Truck Benefit Calc.'!O29</f>
        <v>3565467.0928556747</v>
      </c>
      <c r="F27" s="71">
        <f>SUM('Custom Truck Benefit Calc.'!V29:X29)-SUM('Custom Truck Benefit Calc.'!Y29:AA29)</f>
        <v>510483.11319651682</v>
      </c>
      <c r="G27" s="71">
        <f>SUM('Custom Truck Benefit Calc.'!AB29:AD29)-SUM('Custom Truck Benefit Calc.'!AE29:AG29)</f>
        <v>550911.58578271687</v>
      </c>
      <c r="H27" s="72"/>
      <c r="I27" s="70">
        <f t="shared" si="0"/>
        <v>2042</v>
      </c>
      <c r="J27" s="73">
        <f t="shared" si="15"/>
        <v>3.7478079992863389</v>
      </c>
      <c r="K27" s="73">
        <f t="shared" si="15"/>
        <v>1.3065607513442292</v>
      </c>
      <c r="L27" s="73">
        <f t="shared" si="15"/>
        <v>0</v>
      </c>
      <c r="M27" s="73">
        <f t="shared" si="16"/>
        <v>0.51048311319651685</v>
      </c>
      <c r="N27" s="73">
        <f t="shared" si="16"/>
        <v>0.55091158578271682</v>
      </c>
      <c r="O27" s="169">
        <f t="shared" si="11"/>
        <v>3.5654670928556746</v>
      </c>
      <c r="P27" s="73">
        <f t="shared" si="3"/>
        <v>9.6812305424654763</v>
      </c>
      <c r="Q27" s="72"/>
      <c r="R27" s="203">
        <f t="shared" si="4"/>
        <v>2042</v>
      </c>
      <c r="S27" s="75">
        <f t="shared" si="17"/>
        <v>1.8436731921720302</v>
      </c>
      <c r="T27" s="75">
        <f t="shared" si="17"/>
        <v>0.64274131216332342</v>
      </c>
      <c r="U27" s="75">
        <f t="shared" si="17"/>
        <v>0</v>
      </c>
      <c r="V27" s="75">
        <f t="shared" si="17"/>
        <v>0.25112386521298724</v>
      </c>
      <c r="W27" s="75">
        <f t="shared" si="17"/>
        <v>0.27101199478681604</v>
      </c>
      <c r="X27" s="75">
        <f t="shared" si="17"/>
        <v>1.7539735487840606</v>
      </c>
      <c r="Y27" s="75">
        <f t="shared" si="7"/>
        <v>4.7625239131192174</v>
      </c>
      <c r="Z27" s="76">
        <f t="shared" si="12"/>
        <v>0.49193373633950943</v>
      </c>
      <c r="AA27" s="72"/>
      <c r="AB27" s="203">
        <f t="shared" si="8"/>
        <v>2042</v>
      </c>
      <c r="AC27" s="75">
        <f t="shared" si="18"/>
        <v>0.73886767927636277</v>
      </c>
      <c r="AD27" s="75">
        <f t="shared" si="18"/>
        <v>0.25758403588527462</v>
      </c>
      <c r="AE27" s="75">
        <f t="shared" si="18"/>
        <v>0</v>
      </c>
      <c r="AF27" s="75">
        <f t="shared" si="18"/>
        <v>0.1006400203076321</v>
      </c>
      <c r="AG27" s="75">
        <f t="shared" si="18"/>
        <v>0.108610357027694</v>
      </c>
      <c r="AH27" s="75">
        <f t="shared" si="18"/>
        <v>0.70291978589515758</v>
      </c>
      <c r="AI27" s="75">
        <f t="shared" si="14"/>
        <v>1.9086218783921209</v>
      </c>
      <c r="AJ27" s="76">
        <f t="shared" si="13"/>
        <v>0.19714661994879637</v>
      </c>
    </row>
    <row r="28" spans="1:36" x14ac:dyDescent="0.25">
      <c r="A28" s="70">
        <f>'Custom Truck Benefit Calc.'!A30</f>
        <v>2043</v>
      </c>
      <c r="B28" s="71">
        <f>SUM('Custom Truck Benefit Calc.'!B30:D30)-SUM('Custom Truck Benefit Calc.'!E30:G30)</f>
        <v>3819775.0287966081</v>
      </c>
      <c r="C28" s="71">
        <f>('Custom Truck Benefit Calc.'!H30-'Custom Truck Benefit Calc.'!K30)+('Custom Truck Benefit Calc.'!J30-'Custom Truck Benefit Calc.'!M30)+('Custom Truck Benefit Calc.'!P30-'Custom Truck Benefit Calc.'!S30)+('Custom Truck Benefit Calc.'!R30-'Custom Truck Benefit Calc.'!U30)</f>
        <v>1331649.8957632752</v>
      </c>
      <c r="D28" s="71">
        <f>('Custom Truck Benefit Calc.'!I30-'Custom Truck Benefit Calc.'!L30)+('Custom Truck Benefit Calc.'!Q30-'Custom Truck Benefit Calc.'!T30)</f>
        <v>0</v>
      </c>
      <c r="E28" s="71">
        <f>'Custom Truck Benefit Calc.'!N30-'Custom Truck Benefit Calc.'!O30</f>
        <v>3633932.7334483368</v>
      </c>
      <c r="F28" s="71">
        <f>SUM('Custom Truck Benefit Calc.'!V30:X30)-SUM('Custom Truck Benefit Calc.'!Y30:AA30)</f>
        <v>520285.63063575159</v>
      </c>
      <c r="G28" s="71">
        <f>SUM('Custom Truck Benefit Calc.'!AB30:AD30)-SUM('Custom Truck Benefit Calc.'!AE30:AG30)</f>
        <v>561490.42823118914</v>
      </c>
      <c r="H28" s="72"/>
      <c r="I28" s="70">
        <f t="shared" si="0"/>
        <v>2043</v>
      </c>
      <c r="J28" s="75">
        <f t="shared" si="15"/>
        <v>3.8197750287966081</v>
      </c>
      <c r="K28" s="75">
        <f t="shared" si="15"/>
        <v>1.3316498957632752</v>
      </c>
      <c r="L28" s="75">
        <f t="shared" si="15"/>
        <v>0</v>
      </c>
      <c r="M28" s="75">
        <f t="shared" si="16"/>
        <v>0.52028563063575162</v>
      </c>
      <c r="N28" s="73">
        <f t="shared" si="16"/>
        <v>0.56149042823118911</v>
      </c>
      <c r="O28" s="169">
        <f t="shared" si="11"/>
        <v>3.6339327334483369</v>
      </c>
      <c r="P28" s="75">
        <f t="shared" si="3"/>
        <v>9.8671337168751609</v>
      </c>
      <c r="Q28" s="72"/>
      <c r="R28" s="203">
        <f t="shared" si="4"/>
        <v>2043</v>
      </c>
      <c r="S28" s="75">
        <f t="shared" si="17"/>
        <v>1.8243458270798765</v>
      </c>
      <c r="T28" s="75">
        <f t="shared" si="17"/>
        <v>0.63600340652324883</v>
      </c>
      <c r="U28" s="75">
        <f t="shared" si="17"/>
        <v>0</v>
      </c>
      <c r="V28" s="75">
        <f t="shared" si="17"/>
        <v>0.24849131479844974</v>
      </c>
      <c r="W28" s="75">
        <f t="shared" si="17"/>
        <v>0.26817095561033011</v>
      </c>
      <c r="X28" s="75">
        <f t="shared" si="17"/>
        <v>1.7355865118171718</v>
      </c>
      <c r="Y28" s="75">
        <f t="shared" si="7"/>
        <v>4.7125980158290766</v>
      </c>
      <c r="Z28" s="76">
        <f t="shared" si="12"/>
        <v>0.47760556926165965</v>
      </c>
      <c r="AA28" s="72"/>
      <c r="AB28" s="203">
        <f t="shared" si="8"/>
        <v>2043</v>
      </c>
      <c r="AC28" s="75">
        <f t="shared" si="18"/>
        <v>0.70379040737576404</v>
      </c>
      <c r="AD28" s="75">
        <f t="shared" si="18"/>
        <v>0.24535539804195952</v>
      </c>
      <c r="AE28" s="75">
        <f t="shared" si="18"/>
        <v>0</v>
      </c>
      <c r="AF28" s="75">
        <f t="shared" si="18"/>
        <v>9.5862199521276961E-2</v>
      </c>
      <c r="AG28" s="75">
        <f t="shared" si="18"/>
        <v>0.10345414958820667</v>
      </c>
      <c r="AH28" s="75">
        <f t="shared" si="18"/>
        <v>0.66954911730899991</v>
      </c>
      <c r="AI28" s="75">
        <f t="shared" si="14"/>
        <v>1.8180112718362071</v>
      </c>
      <c r="AJ28" s="76">
        <f t="shared" si="13"/>
        <v>0.18424917752223957</v>
      </c>
    </row>
    <row r="29" spans="1:36" x14ac:dyDescent="0.25">
      <c r="A29" s="70">
        <f>'Custom Truck Benefit Calc.'!A31</f>
        <v>2044</v>
      </c>
      <c r="B29" s="71">
        <f>SUM('Custom Truck Benefit Calc.'!B31:D31)-SUM('Custom Truck Benefit Calc.'!E31:G31)</f>
        <v>3893124.0003213882</v>
      </c>
      <c r="C29" s="71">
        <f>('Custom Truck Benefit Calc.'!H31-'Custom Truck Benefit Calc.'!K31)+('Custom Truck Benefit Calc.'!J31-'Custom Truck Benefit Calc.'!M31)+('Custom Truck Benefit Calc.'!P31-'Custom Truck Benefit Calc.'!S31)+('Custom Truck Benefit Calc.'!R31-'Custom Truck Benefit Calc.'!U31)</f>
        <v>1357220.8127803672</v>
      </c>
      <c r="D29" s="71">
        <f>('Custom Truck Benefit Calc.'!I31-'Custom Truck Benefit Calc.'!L31)+('Custom Truck Benefit Calc.'!Q31-'Custom Truck Benefit Calc.'!T31)</f>
        <v>0</v>
      </c>
      <c r="E29" s="71">
        <f>'Custom Truck Benefit Calc.'!N31-'Custom Truck Benefit Calc.'!O31</f>
        <v>3703713.0808717399</v>
      </c>
      <c r="F29" s="71">
        <f>SUM('Custom Truck Benefit Calc.'!V31:X31)-SUM('Custom Truck Benefit Calc.'!Y31:AA31)</f>
        <v>530276.38025282451</v>
      </c>
      <c r="G29" s="71">
        <f>SUM('Custom Truck Benefit Calc.'!AB31:AD31)-SUM('Custom Truck Benefit Calc.'!AE31:AG31)</f>
        <v>572272.41018595919</v>
      </c>
      <c r="H29" s="72"/>
      <c r="I29" s="70">
        <f t="shared" si="0"/>
        <v>2044</v>
      </c>
      <c r="J29" s="75">
        <f t="shared" si="15"/>
        <v>3.8931240003213881</v>
      </c>
      <c r="K29" s="75">
        <f t="shared" si="15"/>
        <v>1.3572208127803671</v>
      </c>
      <c r="L29" s="75">
        <f t="shared" si="15"/>
        <v>0</v>
      </c>
      <c r="M29" s="75">
        <f t="shared" si="16"/>
        <v>0.53027638025282453</v>
      </c>
      <c r="N29" s="73">
        <f t="shared" si="16"/>
        <v>0.5722724101859592</v>
      </c>
      <c r="O29" s="169">
        <f t="shared" si="11"/>
        <v>3.70371308087174</v>
      </c>
      <c r="P29" s="75">
        <f t="shared" si="3"/>
        <v>10.056606684412278</v>
      </c>
      <c r="Q29" s="72"/>
      <c r="R29" s="203">
        <f t="shared" si="4"/>
        <v>2044</v>
      </c>
      <c r="S29" s="75">
        <f t="shared" si="17"/>
        <v>1.8052210722133262</v>
      </c>
      <c r="T29" s="75">
        <f t="shared" si="17"/>
        <v>0.62933613485605788</v>
      </c>
      <c r="U29" s="75">
        <f t="shared" si="17"/>
        <v>0</v>
      </c>
      <c r="V29" s="75">
        <f t="shared" si="17"/>
        <v>0.24588636160841024</v>
      </c>
      <c r="W29" s="75">
        <f t="shared" si="17"/>
        <v>0.2653596992617544</v>
      </c>
      <c r="X29" s="75">
        <f t="shared" si="17"/>
        <v>1.7173922275452451</v>
      </c>
      <c r="Y29" s="75">
        <f t="shared" si="7"/>
        <v>4.6631954954847945</v>
      </c>
      <c r="Z29" s="76">
        <f t="shared" si="12"/>
        <v>0.46369472743850448</v>
      </c>
      <c r="AA29" s="72"/>
      <c r="AB29" s="203">
        <f t="shared" si="8"/>
        <v>2044</v>
      </c>
      <c r="AC29" s="75">
        <f t="shared" si="18"/>
        <v>0.67037840659000658</v>
      </c>
      <c r="AD29" s="75">
        <f t="shared" si="18"/>
        <v>0.2337073069821011</v>
      </c>
      <c r="AE29" s="75">
        <f t="shared" si="18"/>
        <v>0</v>
      </c>
      <c r="AF29" s="75">
        <f t="shared" si="18"/>
        <v>9.1311202729956353E-2</v>
      </c>
      <c r="AG29" s="75">
        <f t="shared" si="18"/>
        <v>9.8542729808815621E-2</v>
      </c>
      <c r="AH29" s="75">
        <f t="shared" si="18"/>
        <v>0.63776269993362444</v>
      </c>
      <c r="AI29" s="75">
        <f t="shared" si="14"/>
        <v>1.731702346044504</v>
      </c>
      <c r="AJ29" s="76">
        <f t="shared" si="13"/>
        <v>0.17219549301143888</v>
      </c>
    </row>
    <row r="30" spans="1:36" s="80" customFormat="1" x14ac:dyDescent="0.25">
      <c r="A30" s="77" t="s">
        <v>6</v>
      </c>
      <c r="B30" s="78">
        <f t="shared" ref="B30:G30" si="19">SUM(B3:B29)</f>
        <v>65382701.917186841</v>
      </c>
      <c r="C30" s="78">
        <f t="shared" si="19"/>
        <v>22793716.262439929</v>
      </c>
      <c r="D30" s="78">
        <f t="shared" si="19"/>
        <v>0</v>
      </c>
      <c r="E30" s="78">
        <f t="shared" si="19"/>
        <v>62201658.188496403</v>
      </c>
      <c r="F30" s="78">
        <f t="shared" si="19"/>
        <v>8905676.3927717321</v>
      </c>
      <c r="G30" s="78">
        <f t="shared" si="19"/>
        <v>9610974.7358496115</v>
      </c>
      <c r="H30" s="79"/>
      <c r="I30" s="77" t="s">
        <v>6</v>
      </c>
      <c r="J30" s="78">
        <f t="shared" ref="J30:P30" si="20">SUM(J3:J29)</f>
        <v>65.382701917186836</v>
      </c>
      <c r="K30" s="78">
        <f t="shared" si="20"/>
        <v>22.793716262439919</v>
      </c>
      <c r="L30" s="78">
        <f t="shared" si="20"/>
        <v>0</v>
      </c>
      <c r="M30" s="78">
        <f t="shared" si="20"/>
        <v>8.9056763927717313</v>
      </c>
      <c r="N30" s="78">
        <f t="shared" si="20"/>
        <v>9.6109747358496129</v>
      </c>
      <c r="O30" s="143">
        <f t="shared" si="20"/>
        <v>62.20165818849641</v>
      </c>
      <c r="P30" s="78">
        <f t="shared" si="20"/>
        <v>168.89472749674454</v>
      </c>
      <c r="Q30" s="79"/>
      <c r="R30" s="77" t="s">
        <v>6</v>
      </c>
      <c r="S30" s="78">
        <f t="shared" ref="S30:Y30" si="21">SUM(S3:S29)</f>
        <v>39.979862323136807</v>
      </c>
      <c r="T30" s="78">
        <f t="shared" si="21"/>
        <v>13.937778820447404</v>
      </c>
      <c r="U30" s="78">
        <f t="shared" si="21"/>
        <v>0</v>
      </c>
      <c r="V30" s="78">
        <f t="shared" si="21"/>
        <v>5.4455950218819407</v>
      </c>
      <c r="W30" s="78">
        <f t="shared" si="21"/>
        <v>5.8768670529568459</v>
      </c>
      <c r="X30" s="78">
        <f t="shared" si="21"/>
        <v>38.034734841589732</v>
      </c>
      <c r="Y30" s="78">
        <f t="shared" si="21"/>
        <v>103.27483806001271</v>
      </c>
      <c r="Z30" s="77"/>
      <c r="AA30" s="79"/>
      <c r="AB30" s="77" t="s">
        <v>6</v>
      </c>
      <c r="AC30" s="78">
        <f t="shared" ref="AC30:AH30" si="22">SUM(AC3:AC29)</f>
        <v>22.129374153338333</v>
      </c>
      <c r="AD30" s="78">
        <f t="shared" si="22"/>
        <v>7.7147419841328659</v>
      </c>
      <c r="AE30" s="78">
        <f t="shared" si="22"/>
        <v>0</v>
      </c>
      <c r="AF30" s="78">
        <f t="shared" si="22"/>
        <v>3.0142077216970051</v>
      </c>
      <c r="AG30" s="78">
        <f t="shared" si="22"/>
        <v>3.252922404113598</v>
      </c>
      <c r="AH30" s="78">
        <f t="shared" si="22"/>
        <v>21.052720775515525</v>
      </c>
      <c r="AI30" s="78">
        <f>SUM(AI3:AI29)</f>
        <v>57.163967038797324</v>
      </c>
      <c r="AJ30" s="77"/>
    </row>
    <row r="31" spans="1:36" x14ac:dyDescent="0.25">
      <c r="I31" s="333"/>
      <c r="J31" s="333"/>
      <c r="K31" s="333"/>
      <c r="L31" s="333"/>
      <c r="M31" s="333"/>
      <c r="N31" s="333"/>
      <c r="O31" s="333"/>
      <c r="P31" s="333"/>
      <c r="R31" s="333"/>
      <c r="S31" s="333"/>
      <c r="T31" s="333"/>
      <c r="U31" s="333"/>
      <c r="V31" s="333"/>
      <c r="W31" s="333"/>
      <c r="X31" s="333"/>
      <c r="Y31" s="333"/>
      <c r="Z31" s="333"/>
      <c r="AB31" s="333"/>
      <c r="AC31" s="333"/>
      <c r="AD31" s="333"/>
      <c r="AE31" s="333"/>
      <c r="AF31" s="333"/>
      <c r="AG31" s="333"/>
      <c r="AH31" s="333"/>
      <c r="AI31" s="333"/>
    </row>
    <row r="32" spans="1:36" x14ac:dyDescent="0.25">
      <c r="I32" s="334"/>
      <c r="J32" s="334"/>
      <c r="K32" s="334"/>
      <c r="L32" s="334"/>
      <c r="M32" s="334"/>
      <c r="N32" s="334"/>
      <c r="O32" s="334"/>
      <c r="P32" s="334"/>
      <c r="R32" s="335"/>
      <c r="S32" s="335"/>
      <c r="T32" s="335"/>
      <c r="U32" s="335"/>
      <c r="V32" s="335"/>
      <c r="W32" s="335"/>
      <c r="X32" s="335"/>
      <c r="Y32" s="335"/>
      <c r="Z32" s="335"/>
      <c r="AB32" s="334"/>
      <c r="AC32" s="334"/>
      <c r="AD32" s="334"/>
      <c r="AE32" s="334"/>
      <c r="AF32" s="334"/>
      <c r="AG32" s="334"/>
      <c r="AH32" s="334"/>
      <c r="AI32" s="334"/>
    </row>
  </sheetData>
  <mergeCells count="4">
    <mergeCell ref="A1:G1"/>
    <mergeCell ref="I1:P1"/>
    <mergeCell ref="R1:Y1"/>
    <mergeCell ref="AB1:AI1"/>
  </mergeCells>
  <conditionalFormatting sqref="A3:XFD30">
    <cfRule type="cellIs" dxfId="11" priority="1" operator="lessThan">
      <formula>0</formula>
    </cfRule>
  </conditionalFormatting>
  <pageMargins left="0.7" right="0.7" top="0.75" bottom="0.75" header="0.3" footer="0.3"/>
  <pageSetup scale="74" orientation="portrait" horizontalDpi="1200" verticalDpi="1200" r:id="rId1"/>
  <colBreaks count="3" manualBreakCount="3">
    <brk id="7" max="32" man="1"/>
    <brk id="16" max="1048575" man="1"/>
    <brk id="26" max="3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A1:P67"/>
  <sheetViews>
    <sheetView defaultGridColor="0" topLeftCell="D1" colorId="22" zoomScale="85" zoomScaleNormal="85" workbookViewId="0">
      <pane ySplit="2" topLeftCell="A45" activePane="bottomLeft" state="frozen"/>
      <selection activeCell="G14" sqref="G14"/>
      <selection pane="bottomLeft" activeCell="L69" sqref="L69"/>
    </sheetView>
  </sheetViews>
  <sheetFormatPr defaultColWidth="12.85546875" defaultRowHeight="16.5" customHeight="1" x14ac:dyDescent="0.25"/>
  <cols>
    <col min="1" max="3" width="12.85546875" style="82" hidden="1" customWidth="1"/>
    <col min="4" max="4" width="19" style="84" customWidth="1"/>
    <col min="5" max="5" width="12.140625" style="84" bestFit="1" customWidth="1"/>
    <col min="6" max="6" width="9.7109375" style="85" customWidth="1"/>
    <col min="7" max="7" width="8" style="86" customWidth="1"/>
    <col min="8" max="8" width="13.140625" style="94" customWidth="1"/>
    <col min="9" max="9" width="14.85546875" style="94" customWidth="1"/>
    <col min="10" max="10" width="10.140625" style="94" customWidth="1"/>
    <col min="11" max="11" width="16.28515625" style="94" customWidth="1"/>
    <col min="12" max="12" width="10.140625" style="94" customWidth="1"/>
    <col min="13" max="13" width="13.5703125" style="112" customWidth="1"/>
    <col min="14" max="14" width="16.7109375" style="112" customWidth="1"/>
    <col min="15" max="15" width="12.85546875" style="93" customWidth="1"/>
    <col min="16" max="16384" width="12.85546875" style="87"/>
  </cols>
  <sheetData>
    <row r="1" spans="1:16" ht="16.5" customHeight="1" x14ac:dyDescent="0.25">
      <c r="D1" s="83" t="s">
        <v>95</v>
      </c>
      <c r="H1" s="346" t="s">
        <v>90</v>
      </c>
      <c r="I1" s="347"/>
      <c r="J1" s="347"/>
      <c r="K1" s="347"/>
      <c r="L1" s="347"/>
      <c r="M1" s="347"/>
      <c r="N1" s="347"/>
      <c r="O1" s="348"/>
    </row>
    <row r="2" spans="1:16" s="8" customFormat="1" ht="45" customHeight="1" x14ac:dyDescent="0.25">
      <c r="A2" s="88" t="s">
        <v>60</v>
      </c>
      <c r="B2" s="88" t="s">
        <v>59</v>
      </c>
      <c r="C2" s="89" t="s">
        <v>58</v>
      </c>
      <c r="D2" s="90" t="s">
        <v>98</v>
      </c>
      <c r="E2" s="90" t="s">
        <v>57</v>
      </c>
      <c r="F2" s="90" t="s">
        <v>56</v>
      </c>
      <c r="G2" s="90" t="s">
        <v>0</v>
      </c>
      <c r="H2" s="196" t="s">
        <v>212</v>
      </c>
      <c r="I2" s="196" t="s">
        <v>213</v>
      </c>
      <c r="J2" s="196" t="s">
        <v>214</v>
      </c>
      <c r="K2" s="196" t="s">
        <v>215</v>
      </c>
      <c r="L2" s="91" t="s">
        <v>61</v>
      </c>
      <c r="M2" s="199" t="s">
        <v>218</v>
      </c>
      <c r="N2" s="197" t="s">
        <v>216</v>
      </c>
      <c r="O2" s="198" t="s">
        <v>217</v>
      </c>
    </row>
    <row r="3" spans="1:16" ht="16.5" customHeight="1" x14ac:dyDescent="0.25">
      <c r="A3" s="92"/>
      <c r="B3" s="92"/>
      <c r="C3" s="92"/>
      <c r="D3" s="206" t="s">
        <v>3</v>
      </c>
      <c r="E3" s="206" t="s">
        <v>197</v>
      </c>
      <c r="F3" s="207" t="s">
        <v>11</v>
      </c>
      <c r="G3" s="208">
        <v>2013</v>
      </c>
      <c r="H3" s="209"/>
      <c r="I3" s="209"/>
      <c r="J3" s="209"/>
      <c r="K3" s="209"/>
      <c r="L3" s="209">
        <f t="shared" ref="L3:L7" si="0">SUM(H3:K3)</f>
        <v>0</v>
      </c>
      <c r="M3" s="210">
        <v>4.2999999999999997E-2</v>
      </c>
      <c r="N3" s="211">
        <v>0</v>
      </c>
      <c r="O3" s="212">
        <f t="shared" ref="O3:O7" si="1">M3+N3</f>
        <v>4.2999999999999997E-2</v>
      </c>
      <c r="P3" s="202"/>
    </row>
    <row r="4" spans="1:16" ht="16.5" customHeight="1" x14ac:dyDescent="0.25">
      <c r="A4" s="92"/>
      <c r="B4" s="92"/>
      <c r="C4" s="92"/>
      <c r="D4" s="206" t="s">
        <v>3</v>
      </c>
      <c r="E4" s="206" t="s">
        <v>197</v>
      </c>
      <c r="F4" s="207" t="s">
        <v>11</v>
      </c>
      <c r="G4" s="208">
        <v>2014</v>
      </c>
      <c r="H4" s="209"/>
      <c r="I4" s="209"/>
      <c r="J4" s="209"/>
      <c r="K4" s="209"/>
      <c r="L4" s="209">
        <f t="shared" si="0"/>
        <v>0</v>
      </c>
      <c r="M4" s="210">
        <v>4.2999999999999997E-2</v>
      </c>
      <c r="N4" s="211">
        <v>0</v>
      </c>
      <c r="O4" s="212">
        <f t="shared" si="1"/>
        <v>4.2999999999999997E-2</v>
      </c>
      <c r="P4" s="202"/>
    </row>
    <row r="5" spans="1:16" ht="16.5" customHeight="1" x14ac:dyDescent="0.25">
      <c r="A5" s="92"/>
      <c r="B5" s="92"/>
      <c r="C5" s="92"/>
      <c r="D5" s="206" t="s">
        <v>3</v>
      </c>
      <c r="E5" s="206" t="s">
        <v>197</v>
      </c>
      <c r="F5" s="207" t="s">
        <v>11</v>
      </c>
      <c r="G5" s="208">
        <v>2015</v>
      </c>
      <c r="H5" s="209"/>
      <c r="I5" s="209"/>
      <c r="J5" s="209"/>
      <c r="K5" s="209"/>
      <c r="L5" s="209">
        <f t="shared" si="0"/>
        <v>0</v>
      </c>
      <c r="M5" s="210">
        <v>4.2999999999999997E-2</v>
      </c>
      <c r="N5" s="211">
        <v>0</v>
      </c>
      <c r="O5" s="212">
        <f t="shared" si="1"/>
        <v>4.2999999999999997E-2</v>
      </c>
      <c r="P5" s="202"/>
    </row>
    <row r="6" spans="1:16" ht="16.5" customHeight="1" x14ac:dyDescent="0.25">
      <c r="A6" s="92"/>
      <c r="B6" s="92"/>
      <c r="C6" s="92"/>
      <c r="D6" s="206" t="s">
        <v>3</v>
      </c>
      <c r="E6" s="206" t="s">
        <v>197</v>
      </c>
      <c r="F6" s="207" t="s">
        <v>11</v>
      </c>
      <c r="G6" s="208">
        <v>2016</v>
      </c>
      <c r="H6" s="209"/>
      <c r="I6" s="209"/>
      <c r="J6" s="209"/>
      <c r="K6" s="209"/>
      <c r="L6" s="209">
        <f t="shared" si="0"/>
        <v>0</v>
      </c>
      <c r="M6" s="210">
        <v>4.2999999999999997E-2</v>
      </c>
      <c r="N6" s="211">
        <v>0</v>
      </c>
      <c r="O6" s="212">
        <f t="shared" si="1"/>
        <v>4.2999999999999997E-2</v>
      </c>
      <c r="P6" s="202"/>
    </row>
    <row r="7" spans="1:16" ht="16.5" customHeight="1" x14ac:dyDescent="0.25">
      <c r="A7" s="92"/>
      <c r="B7" s="92"/>
      <c r="C7" s="92"/>
      <c r="D7" s="206" t="s">
        <v>3</v>
      </c>
      <c r="E7" s="206" t="s">
        <v>197</v>
      </c>
      <c r="F7" s="207" t="s">
        <v>11</v>
      </c>
      <c r="G7" s="208">
        <v>2017</v>
      </c>
      <c r="H7" s="209"/>
      <c r="I7" s="209"/>
      <c r="J7" s="209"/>
      <c r="K7" s="209"/>
      <c r="L7" s="209">
        <f t="shared" si="0"/>
        <v>0</v>
      </c>
      <c r="M7" s="210">
        <v>4.2999999999999997E-2</v>
      </c>
      <c r="N7" s="211">
        <v>0.77500000000000002</v>
      </c>
      <c r="O7" s="212">
        <f t="shared" si="1"/>
        <v>0.81800000000000006</v>
      </c>
      <c r="P7" s="201" t="s">
        <v>219</v>
      </c>
    </row>
    <row r="8" spans="1:16" ht="16.5" customHeight="1" x14ac:dyDescent="0.25">
      <c r="A8" s="92">
        <v>5819584</v>
      </c>
      <c r="B8" s="92">
        <v>17567</v>
      </c>
      <c r="C8" s="92">
        <v>34662</v>
      </c>
      <c r="D8" s="174" t="s">
        <v>3</v>
      </c>
      <c r="E8" s="174" t="s">
        <v>197</v>
      </c>
      <c r="F8" s="175" t="s">
        <v>11</v>
      </c>
      <c r="G8" s="176">
        <v>2018</v>
      </c>
      <c r="H8" s="177"/>
      <c r="I8" s="177"/>
      <c r="J8" s="177"/>
      <c r="K8" s="177"/>
      <c r="L8" s="177">
        <f>SUM(H8:K8)</f>
        <v>0</v>
      </c>
      <c r="M8" s="195">
        <v>4.2999999999999997E-2</v>
      </c>
      <c r="N8" s="185">
        <v>0</v>
      </c>
      <c r="O8" s="178">
        <f>M8+N8</f>
        <v>4.2999999999999997E-2</v>
      </c>
    </row>
    <row r="9" spans="1:16" ht="16.5" customHeight="1" x14ac:dyDescent="0.25">
      <c r="A9" s="92">
        <v>5819585</v>
      </c>
      <c r="B9" s="92">
        <v>17567</v>
      </c>
      <c r="C9" s="92">
        <v>34662</v>
      </c>
      <c r="D9" s="174" t="s">
        <v>3</v>
      </c>
      <c r="E9" s="174" t="s">
        <v>197</v>
      </c>
      <c r="F9" s="175" t="s">
        <v>11</v>
      </c>
      <c r="G9" s="176">
        <v>2019</v>
      </c>
      <c r="H9" s="177"/>
      <c r="I9" s="177"/>
      <c r="J9" s="177"/>
      <c r="K9" s="177"/>
      <c r="L9" s="177">
        <f t="shared" ref="L9:L14" si="2">SUM(H9:K9)</f>
        <v>0</v>
      </c>
      <c r="M9" s="195">
        <v>4.2999999999999997E-2</v>
      </c>
      <c r="N9" s="185">
        <v>0</v>
      </c>
      <c r="O9" s="178">
        <f t="shared" ref="O9:O66" si="3">M9+N9</f>
        <v>4.2999999999999997E-2</v>
      </c>
      <c r="P9" s="201" t="s">
        <v>220</v>
      </c>
    </row>
    <row r="10" spans="1:16" ht="16.5" customHeight="1" x14ac:dyDescent="0.25">
      <c r="A10" s="92">
        <v>5819586</v>
      </c>
      <c r="B10" s="92">
        <v>17567</v>
      </c>
      <c r="C10" s="92">
        <v>34662</v>
      </c>
      <c r="D10" s="174" t="s">
        <v>3</v>
      </c>
      <c r="E10" s="174" t="s">
        <v>197</v>
      </c>
      <c r="F10" s="175" t="s">
        <v>11</v>
      </c>
      <c r="G10" s="176">
        <v>2020</v>
      </c>
      <c r="H10" s="177"/>
      <c r="I10" s="177"/>
      <c r="J10" s="177"/>
      <c r="K10" s="177"/>
      <c r="L10" s="177">
        <f t="shared" si="2"/>
        <v>0</v>
      </c>
      <c r="M10" s="195">
        <v>4.2999999999999997E-2</v>
      </c>
      <c r="N10" s="185">
        <v>0</v>
      </c>
      <c r="O10" s="178">
        <f t="shared" si="3"/>
        <v>4.2999999999999997E-2</v>
      </c>
      <c r="P10" s="200"/>
    </row>
    <row r="11" spans="1:16" ht="16.5" customHeight="1" x14ac:dyDescent="0.25">
      <c r="A11" s="92">
        <v>5819587</v>
      </c>
      <c r="B11" s="92">
        <v>17567</v>
      </c>
      <c r="C11" s="92">
        <v>34662</v>
      </c>
      <c r="D11" s="174" t="s">
        <v>3</v>
      </c>
      <c r="E11" s="174" t="s">
        <v>197</v>
      </c>
      <c r="F11" s="175" t="s">
        <v>11</v>
      </c>
      <c r="G11" s="176">
        <v>2021</v>
      </c>
      <c r="H11" s="177"/>
      <c r="I11" s="177"/>
      <c r="J11" s="177"/>
      <c r="K11" s="177"/>
      <c r="L11" s="177">
        <f t="shared" si="2"/>
        <v>0</v>
      </c>
      <c r="M11" s="195">
        <v>4.2999999999999997E-2</v>
      </c>
      <c r="N11" s="185">
        <v>0</v>
      </c>
      <c r="O11" s="178">
        <f t="shared" si="3"/>
        <v>4.2999999999999997E-2</v>
      </c>
      <c r="P11" s="200"/>
    </row>
    <row r="12" spans="1:16" ht="16.5" customHeight="1" x14ac:dyDescent="0.25">
      <c r="A12" s="92">
        <v>5819588</v>
      </c>
      <c r="B12" s="92">
        <v>17567</v>
      </c>
      <c r="C12" s="92">
        <v>34662</v>
      </c>
      <c r="D12" s="174" t="s">
        <v>3</v>
      </c>
      <c r="E12" s="174" t="s">
        <v>197</v>
      </c>
      <c r="F12" s="175" t="s">
        <v>11</v>
      </c>
      <c r="G12" s="176">
        <v>2022</v>
      </c>
      <c r="H12" s="177"/>
      <c r="I12" s="177"/>
      <c r="J12" s="177"/>
      <c r="K12" s="177"/>
      <c r="L12" s="177">
        <f t="shared" si="2"/>
        <v>0</v>
      </c>
      <c r="M12" s="195">
        <v>4.2999999999999997E-2</v>
      </c>
      <c r="N12" s="185">
        <v>0.65</v>
      </c>
      <c r="O12" s="178">
        <f t="shared" si="3"/>
        <v>0.69300000000000006</v>
      </c>
      <c r="P12" s="201" t="s">
        <v>221</v>
      </c>
    </row>
    <row r="13" spans="1:16" ht="16.5" customHeight="1" x14ac:dyDescent="0.25">
      <c r="A13" s="92">
        <v>5819589</v>
      </c>
      <c r="B13" s="92">
        <v>17567</v>
      </c>
      <c r="C13" s="92">
        <v>34662</v>
      </c>
      <c r="D13" s="174" t="s">
        <v>3</v>
      </c>
      <c r="E13" s="174" t="s">
        <v>197</v>
      </c>
      <c r="F13" s="175" t="s">
        <v>11</v>
      </c>
      <c r="G13" s="176">
        <v>2023</v>
      </c>
      <c r="H13" s="177"/>
      <c r="I13" s="177"/>
      <c r="J13" s="177"/>
      <c r="K13" s="177"/>
      <c r="L13" s="177">
        <f t="shared" si="2"/>
        <v>0</v>
      </c>
      <c r="M13" s="195">
        <v>4.2999999999999997E-2</v>
      </c>
      <c r="N13" s="185">
        <v>0</v>
      </c>
      <c r="O13" s="178">
        <f t="shared" si="3"/>
        <v>4.2999999999999997E-2</v>
      </c>
      <c r="P13" s="200"/>
    </row>
    <row r="14" spans="1:16" ht="16.5" customHeight="1" x14ac:dyDescent="0.25">
      <c r="A14" s="92">
        <v>5819590</v>
      </c>
      <c r="B14" s="92">
        <v>17567</v>
      </c>
      <c r="C14" s="92">
        <v>34662</v>
      </c>
      <c r="D14" s="174" t="s">
        <v>3</v>
      </c>
      <c r="E14" s="174" t="s">
        <v>197</v>
      </c>
      <c r="F14" s="175" t="s">
        <v>11</v>
      </c>
      <c r="G14" s="176">
        <v>2024</v>
      </c>
      <c r="H14" s="177"/>
      <c r="I14" s="177"/>
      <c r="J14" s="177"/>
      <c r="K14" s="177"/>
      <c r="L14" s="177">
        <f t="shared" si="2"/>
        <v>0</v>
      </c>
      <c r="M14" s="195">
        <v>4.2999999999999997E-2</v>
      </c>
      <c r="N14" s="185">
        <v>0</v>
      </c>
      <c r="O14" s="178">
        <f t="shared" si="3"/>
        <v>4.2999999999999997E-2</v>
      </c>
      <c r="P14" s="200"/>
    </row>
    <row r="15" spans="1:16" ht="16.5" customHeight="1" x14ac:dyDescent="0.25">
      <c r="A15" s="92">
        <v>5819591</v>
      </c>
      <c r="B15" s="92">
        <v>17567</v>
      </c>
      <c r="C15" s="92">
        <v>34662</v>
      </c>
      <c r="D15" s="180" t="s">
        <v>3</v>
      </c>
      <c r="E15" s="180" t="s">
        <v>197</v>
      </c>
      <c r="F15" s="181" t="s">
        <v>11</v>
      </c>
      <c r="G15" s="179">
        <v>2025</v>
      </c>
      <c r="H15" s="182"/>
      <c r="I15" s="182"/>
      <c r="J15" s="182"/>
      <c r="K15" s="182"/>
      <c r="L15" s="182">
        <f t="shared" ref="L15:L66" si="4">SUM(H15:K15)</f>
        <v>0</v>
      </c>
      <c r="M15" s="192">
        <v>4.2999999999999997E-2</v>
      </c>
      <c r="N15" s="183">
        <v>0</v>
      </c>
      <c r="O15" s="184">
        <f t="shared" si="3"/>
        <v>4.2999999999999997E-2</v>
      </c>
      <c r="P15" s="200"/>
    </row>
    <row r="16" spans="1:16" ht="16.5" customHeight="1" x14ac:dyDescent="0.25">
      <c r="A16" s="92">
        <v>5819592</v>
      </c>
      <c r="B16" s="92">
        <v>17567</v>
      </c>
      <c r="C16" s="92">
        <v>34662</v>
      </c>
      <c r="D16" s="180" t="s">
        <v>3</v>
      </c>
      <c r="E16" s="180" t="s">
        <v>197</v>
      </c>
      <c r="F16" s="181" t="s">
        <v>11</v>
      </c>
      <c r="G16" s="179">
        <v>2026</v>
      </c>
      <c r="H16" s="182"/>
      <c r="I16" s="182"/>
      <c r="J16" s="182"/>
      <c r="K16" s="182"/>
      <c r="L16" s="182">
        <f t="shared" si="4"/>
        <v>0</v>
      </c>
      <c r="M16" s="192">
        <v>4.2999999999999997E-2</v>
      </c>
      <c r="N16" s="183">
        <v>0</v>
      </c>
      <c r="O16" s="184">
        <f t="shared" si="3"/>
        <v>4.2999999999999997E-2</v>
      </c>
      <c r="P16" s="200"/>
    </row>
    <row r="17" spans="1:16" ht="16.5" customHeight="1" x14ac:dyDescent="0.25">
      <c r="A17" s="92">
        <v>5819593</v>
      </c>
      <c r="B17" s="92">
        <v>17567</v>
      </c>
      <c r="C17" s="92">
        <v>34662</v>
      </c>
      <c r="D17" s="180" t="s">
        <v>3</v>
      </c>
      <c r="E17" s="180" t="s">
        <v>197</v>
      </c>
      <c r="F17" s="181" t="s">
        <v>11</v>
      </c>
      <c r="G17" s="179">
        <v>2027</v>
      </c>
      <c r="H17" s="182"/>
      <c r="I17" s="182"/>
      <c r="J17" s="182"/>
      <c r="K17" s="182"/>
      <c r="L17" s="182">
        <f t="shared" si="4"/>
        <v>0</v>
      </c>
      <c r="M17" s="192">
        <v>4.2999999999999997E-2</v>
      </c>
      <c r="N17" s="183">
        <v>0.77500000000000002</v>
      </c>
      <c r="O17" s="184">
        <f t="shared" si="3"/>
        <v>0.81800000000000006</v>
      </c>
      <c r="P17" s="201" t="s">
        <v>222</v>
      </c>
    </row>
    <row r="18" spans="1:16" ht="16.5" customHeight="1" x14ac:dyDescent="0.25">
      <c r="A18" s="92">
        <v>5819594</v>
      </c>
      <c r="B18" s="92">
        <v>17567</v>
      </c>
      <c r="C18" s="92">
        <v>34662</v>
      </c>
      <c r="D18" s="180" t="s">
        <v>3</v>
      </c>
      <c r="E18" s="180" t="s">
        <v>197</v>
      </c>
      <c r="F18" s="181" t="s">
        <v>11</v>
      </c>
      <c r="G18" s="179">
        <v>2028</v>
      </c>
      <c r="H18" s="182"/>
      <c r="I18" s="182"/>
      <c r="J18" s="182"/>
      <c r="K18" s="182"/>
      <c r="L18" s="182">
        <f t="shared" si="4"/>
        <v>0</v>
      </c>
      <c r="M18" s="192">
        <v>4.2999999999999997E-2</v>
      </c>
      <c r="N18" s="183">
        <v>0</v>
      </c>
      <c r="O18" s="184">
        <f t="shared" si="3"/>
        <v>4.2999999999999997E-2</v>
      </c>
      <c r="P18" s="200"/>
    </row>
    <row r="19" spans="1:16" ht="16.5" customHeight="1" x14ac:dyDescent="0.25">
      <c r="A19" s="92">
        <v>5819595</v>
      </c>
      <c r="B19" s="92">
        <v>17567</v>
      </c>
      <c r="C19" s="92">
        <v>34662</v>
      </c>
      <c r="D19" s="180" t="s">
        <v>3</v>
      </c>
      <c r="E19" s="180" t="s">
        <v>197</v>
      </c>
      <c r="F19" s="181" t="s">
        <v>11</v>
      </c>
      <c r="G19" s="179">
        <v>2029</v>
      </c>
      <c r="H19" s="182"/>
      <c r="I19" s="182"/>
      <c r="J19" s="182"/>
      <c r="K19" s="182"/>
      <c r="L19" s="182">
        <f t="shared" si="4"/>
        <v>0</v>
      </c>
      <c r="M19" s="192">
        <v>4.2999999999999997E-2</v>
      </c>
      <c r="N19" s="183">
        <v>0</v>
      </c>
      <c r="O19" s="184">
        <f t="shared" si="3"/>
        <v>4.2999999999999997E-2</v>
      </c>
      <c r="P19" s="200"/>
    </row>
    <row r="20" spans="1:16" ht="16.5" customHeight="1" x14ac:dyDescent="0.25">
      <c r="A20" s="92">
        <v>5819596</v>
      </c>
      <c r="B20" s="92">
        <v>17567</v>
      </c>
      <c r="C20" s="92">
        <v>34662</v>
      </c>
      <c r="D20" s="180" t="s">
        <v>3</v>
      </c>
      <c r="E20" s="180" t="s">
        <v>197</v>
      </c>
      <c r="F20" s="181" t="s">
        <v>11</v>
      </c>
      <c r="G20" s="179">
        <v>2030</v>
      </c>
      <c r="H20" s="182"/>
      <c r="I20" s="182"/>
      <c r="J20" s="182"/>
      <c r="K20" s="182"/>
      <c r="L20" s="182">
        <f t="shared" si="4"/>
        <v>0</v>
      </c>
      <c r="M20" s="192">
        <v>4.2999999999999997E-2</v>
      </c>
      <c r="N20" s="183">
        <v>0</v>
      </c>
      <c r="O20" s="184">
        <f t="shared" si="3"/>
        <v>4.2999999999999997E-2</v>
      </c>
      <c r="P20" s="200"/>
    </row>
    <row r="21" spans="1:16" ht="16.5" customHeight="1" x14ac:dyDescent="0.25">
      <c r="A21" s="92">
        <v>5819597</v>
      </c>
      <c r="B21" s="92">
        <v>17567</v>
      </c>
      <c r="C21" s="92">
        <v>34662</v>
      </c>
      <c r="D21" s="180" t="s">
        <v>3</v>
      </c>
      <c r="E21" s="180" t="s">
        <v>197</v>
      </c>
      <c r="F21" s="181" t="s">
        <v>11</v>
      </c>
      <c r="G21" s="179">
        <v>2031</v>
      </c>
      <c r="H21" s="182"/>
      <c r="I21" s="182"/>
      <c r="J21" s="182"/>
      <c r="K21" s="182"/>
      <c r="L21" s="182">
        <f t="shared" si="4"/>
        <v>0</v>
      </c>
      <c r="M21" s="192">
        <v>4.2999999999999997E-2</v>
      </c>
      <c r="N21" s="183">
        <v>0</v>
      </c>
      <c r="O21" s="184">
        <f t="shared" si="3"/>
        <v>4.2999999999999997E-2</v>
      </c>
      <c r="P21" s="200"/>
    </row>
    <row r="22" spans="1:16" ht="16.5" customHeight="1" x14ac:dyDescent="0.25">
      <c r="A22" s="92">
        <v>5819598</v>
      </c>
      <c r="B22" s="92">
        <v>17567</v>
      </c>
      <c r="C22" s="92">
        <v>34662</v>
      </c>
      <c r="D22" s="180" t="s">
        <v>3</v>
      </c>
      <c r="E22" s="180" t="s">
        <v>197</v>
      </c>
      <c r="F22" s="181" t="s">
        <v>11</v>
      </c>
      <c r="G22" s="179">
        <v>2032</v>
      </c>
      <c r="H22" s="182"/>
      <c r="I22" s="182"/>
      <c r="J22" s="182"/>
      <c r="K22" s="182"/>
      <c r="L22" s="182">
        <f t="shared" si="4"/>
        <v>0</v>
      </c>
      <c r="M22" s="192">
        <v>4.2999999999999997E-2</v>
      </c>
      <c r="N22" s="183">
        <v>0.65</v>
      </c>
      <c r="O22" s="184">
        <f t="shared" si="3"/>
        <v>0.69300000000000006</v>
      </c>
      <c r="P22" s="201" t="s">
        <v>221</v>
      </c>
    </row>
    <row r="23" spans="1:16" ht="16.5" customHeight="1" x14ac:dyDescent="0.25">
      <c r="A23" s="92">
        <v>5819599</v>
      </c>
      <c r="B23" s="92">
        <v>17567</v>
      </c>
      <c r="C23" s="92">
        <v>34662</v>
      </c>
      <c r="D23" s="180" t="s">
        <v>3</v>
      </c>
      <c r="E23" s="180" t="s">
        <v>197</v>
      </c>
      <c r="F23" s="181" t="s">
        <v>11</v>
      </c>
      <c r="G23" s="179">
        <v>2033</v>
      </c>
      <c r="H23" s="182"/>
      <c r="I23" s="182"/>
      <c r="J23" s="182"/>
      <c r="K23" s="182"/>
      <c r="L23" s="182">
        <f t="shared" si="4"/>
        <v>0</v>
      </c>
      <c r="M23" s="192">
        <v>4.2999999999999997E-2</v>
      </c>
      <c r="N23" s="183">
        <v>0</v>
      </c>
      <c r="O23" s="184">
        <f t="shared" si="3"/>
        <v>4.2999999999999997E-2</v>
      </c>
      <c r="P23" s="200"/>
    </row>
    <row r="24" spans="1:16" ht="16.5" customHeight="1" x14ac:dyDescent="0.25">
      <c r="A24" s="92">
        <v>5819600</v>
      </c>
      <c r="B24" s="92">
        <v>17567</v>
      </c>
      <c r="C24" s="92">
        <v>34662</v>
      </c>
      <c r="D24" s="180" t="s">
        <v>3</v>
      </c>
      <c r="E24" s="180" t="s">
        <v>197</v>
      </c>
      <c r="F24" s="181" t="s">
        <v>11</v>
      </c>
      <c r="G24" s="179">
        <v>2034</v>
      </c>
      <c r="H24" s="182"/>
      <c r="I24" s="182"/>
      <c r="J24" s="182"/>
      <c r="K24" s="182"/>
      <c r="L24" s="182">
        <f t="shared" si="4"/>
        <v>0</v>
      </c>
      <c r="M24" s="192">
        <v>4.2999999999999997E-2</v>
      </c>
      <c r="N24" s="183">
        <v>0</v>
      </c>
      <c r="O24" s="184">
        <f t="shared" si="3"/>
        <v>4.2999999999999997E-2</v>
      </c>
      <c r="P24" s="200"/>
    </row>
    <row r="25" spans="1:16" ht="16.5" customHeight="1" x14ac:dyDescent="0.25">
      <c r="A25" s="92">
        <v>5819601</v>
      </c>
      <c r="B25" s="92">
        <v>17567</v>
      </c>
      <c r="C25" s="92">
        <v>34662</v>
      </c>
      <c r="D25" s="180" t="s">
        <v>3</v>
      </c>
      <c r="E25" s="180" t="s">
        <v>197</v>
      </c>
      <c r="F25" s="181" t="s">
        <v>11</v>
      </c>
      <c r="G25" s="179">
        <v>2035</v>
      </c>
      <c r="H25" s="182"/>
      <c r="I25" s="182"/>
      <c r="J25" s="182"/>
      <c r="K25" s="182"/>
      <c r="L25" s="182">
        <f t="shared" si="4"/>
        <v>0</v>
      </c>
      <c r="M25" s="192">
        <v>4.2999999999999997E-2</v>
      </c>
      <c r="N25" s="183">
        <v>0</v>
      </c>
      <c r="O25" s="184">
        <f t="shared" si="3"/>
        <v>4.2999999999999997E-2</v>
      </c>
      <c r="P25" s="200"/>
    </row>
    <row r="26" spans="1:16" ht="16.5" customHeight="1" x14ac:dyDescent="0.25">
      <c r="A26" s="92">
        <v>5819602</v>
      </c>
      <c r="B26" s="92">
        <v>17567</v>
      </c>
      <c r="C26" s="92">
        <v>34662</v>
      </c>
      <c r="D26" s="180" t="s">
        <v>3</v>
      </c>
      <c r="E26" s="180" t="s">
        <v>197</v>
      </c>
      <c r="F26" s="181" t="s">
        <v>11</v>
      </c>
      <c r="G26" s="179">
        <v>2036</v>
      </c>
      <c r="H26" s="182"/>
      <c r="I26" s="182"/>
      <c r="J26" s="182"/>
      <c r="K26" s="182"/>
      <c r="L26" s="182">
        <f t="shared" si="4"/>
        <v>0</v>
      </c>
      <c r="M26" s="192">
        <v>4.2999999999999997E-2</v>
      </c>
      <c r="N26" s="183">
        <v>0</v>
      </c>
      <c r="O26" s="184">
        <f t="shared" si="3"/>
        <v>4.2999999999999997E-2</v>
      </c>
      <c r="P26" s="200"/>
    </row>
    <row r="27" spans="1:16" ht="16.5" customHeight="1" x14ac:dyDescent="0.25">
      <c r="A27" s="92">
        <v>5819603</v>
      </c>
      <c r="B27" s="92">
        <v>17567</v>
      </c>
      <c r="C27" s="92">
        <v>34662</v>
      </c>
      <c r="D27" s="180" t="s">
        <v>3</v>
      </c>
      <c r="E27" s="180" t="s">
        <v>197</v>
      </c>
      <c r="F27" s="181" t="s">
        <v>11</v>
      </c>
      <c r="G27" s="179">
        <v>2037</v>
      </c>
      <c r="H27" s="182"/>
      <c r="I27" s="182"/>
      <c r="J27" s="182"/>
      <c r="K27" s="182"/>
      <c r="L27" s="182">
        <f t="shared" si="4"/>
        <v>0</v>
      </c>
      <c r="M27" s="192">
        <v>4.2999999999999997E-2</v>
      </c>
      <c r="N27" s="183">
        <v>0.77500000000000002</v>
      </c>
      <c r="O27" s="184">
        <f t="shared" si="3"/>
        <v>0.81800000000000006</v>
      </c>
      <c r="P27" s="201" t="s">
        <v>222</v>
      </c>
    </row>
    <row r="28" spans="1:16" ht="16.5" customHeight="1" x14ac:dyDescent="0.25">
      <c r="A28" s="92">
        <v>5819604</v>
      </c>
      <c r="B28" s="92">
        <v>17567</v>
      </c>
      <c r="C28" s="92">
        <v>34662</v>
      </c>
      <c r="D28" s="180" t="s">
        <v>3</v>
      </c>
      <c r="E28" s="180" t="s">
        <v>197</v>
      </c>
      <c r="F28" s="181" t="s">
        <v>11</v>
      </c>
      <c r="G28" s="179">
        <v>2038</v>
      </c>
      <c r="H28" s="182"/>
      <c r="I28" s="182"/>
      <c r="J28" s="182"/>
      <c r="K28" s="182"/>
      <c r="L28" s="182">
        <f t="shared" si="4"/>
        <v>0</v>
      </c>
      <c r="M28" s="192">
        <v>4.2999999999999997E-2</v>
      </c>
      <c r="N28" s="183">
        <v>0</v>
      </c>
      <c r="O28" s="184">
        <f t="shared" si="3"/>
        <v>4.2999999999999997E-2</v>
      </c>
      <c r="P28" s="200"/>
    </row>
    <row r="29" spans="1:16" ht="16.5" customHeight="1" x14ac:dyDescent="0.25">
      <c r="A29" s="92">
        <v>5819605</v>
      </c>
      <c r="B29" s="92">
        <v>17567</v>
      </c>
      <c r="C29" s="92">
        <v>34662</v>
      </c>
      <c r="D29" s="180" t="s">
        <v>3</v>
      </c>
      <c r="E29" s="180" t="s">
        <v>197</v>
      </c>
      <c r="F29" s="181" t="s">
        <v>11</v>
      </c>
      <c r="G29" s="179">
        <v>2039</v>
      </c>
      <c r="H29" s="182"/>
      <c r="I29" s="182"/>
      <c r="J29" s="182"/>
      <c r="K29" s="182"/>
      <c r="L29" s="182">
        <f t="shared" si="4"/>
        <v>0</v>
      </c>
      <c r="M29" s="192">
        <v>4.2999999999999997E-2</v>
      </c>
      <c r="N29" s="183">
        <v>0</v>
      </c>
      <c r="O29" s="184">
        <f>M29+N29</f>
        <v>4.2999999999999997E-2</v>
      </c>
      <c r="P29" s="200"/>
    </row>
    <row r="30" spans="1:16" ht="16.5" customHeight="1" x14ac:dyDescent="0.25">
      <c r="A30" s="92">
        <v>5819606</v>
      </c>
      <c r="B30" s="92">
        <v>17567</v>
      </c>
      <c r="C30" s="92">
        <v>34662</v>
      </c>
      <c r="D30" s="180" t="s">
        <v>3</v>
      </c>
      <c r="E30" s="180" t="s">
        <v>197</v>
      </c>
      <c r="F30" s="181" t="s">
        <v>11</v>
      </c>
      <c r="G30" s="179">
        <v>2040</v>
      </c>
      <c r="H30" s="182"/>
      <c r="I30" s="182"/>
      <c r="J30" s="182"/>
      <c r="K30" s="182"/>
      <c r="L30" s="182">
        <f t="shared" si="4"/>
        <v>0</v>
      </c>
      <c r="M30" s="192">
        <v>4.2999999999999997E-2</v>
      </c>
      <c r="N30" s="183">
        <v>0</v>
      </c>
      <c r="O30" s="184">
        <f t="shared" si="3"/>
        <v>4.2999999999999997E-2</v>
      </c>
      <c r="P30" s="200"/>
    </row>
    <row r="31" spans="1:16" ht="16.5" customHeight="1" x14ac:dyDescent="0.25">
      <c r="A31" s="92">
        <v>5819607</v>
      </c>
      <c r="B31" s="92">
        <v>17567</v>
      </c>
      <c r="C31" s="92">
        <v>34662</v>
      </c>
      <c r="D31" s="180" t="s">
        <v>3</v>
      </c>
      <c r="E31" s="180" t="s">
        <v>197</v>
      </c>
      <c r="F31" s="181" t="s">
        <v>11</v>
      </c>
      <c r="G31" s="179">
        <v>2041</v>
      </c>
      <c r="H31" s="182"/>
      <c r="I31" s="182"/>
      <c r="J31" s="182"/>
      <c r="K31" s="182"/>
      <c r="L31" s="182">
        <f t="shared" si="4"/>
        <v>0</v>
      </c>
      <c r="M31" s="192">
        <v>4.2999999999999997E-2</v>
      </c>
      <c r="N31" s="183">
        <v>0</v>
      </c>
      <c r="O31" s="184">
        <f t="shared" si="3"/>
        <v>4.2999999999999997E-2</v>
      </c>
      <c r="P31" s="200"/>
    </row>
    <row r="32" spans="1:16" ht="16.5" customHeight="1" x14ac:dyDescent="0.25">
      <c r="A32" s="92">
        <v>5819608</v>
      </c>
      <c r="B32" s="92">
        <v>17567</v>
      </c>
      <c r="C32" s="92">
        <v>34662</v>
      </c>
      <c r="D32" s="180" t="s">
        <v>3</v>
      </c>
      <c r="E32" s="180" t="s">
        <v>197</v>
      </c>
      <c r="F32" s="181" t="s">
        <v>11</v>
      </c>
      <c r="G32" s="179">
        <v>2042</v>
      </c>
      <c r="H32" s="182"/>
      <c r="I32" s="182"/>
      <c r="J32" s="182"/>
      <c r="K32" s="182"/>
      <c r="L32" s="182">
        <f t="shared" si="4"/>
        <v>0</v>
      </c>
      <c r="M32" s="192">
        <v>4.2999999999999997E-2</v>
      </c>
      <c r="N32" s="183">
        <v>0.65</v>
      </c>
      <c r="O32" s="184">
        <f t="shared" si="3"/>
        <v>0.69300000000000006</v>
      </c>
      <c r="P32" s="201" t="s">
        <v>221</v>
      </c>
    </row>
    <row r="33" spans="1:16" ht="16.5" customHeight="1" x14ac:dyDescent="0.25">
      <c r="A33" s="92">
        <v>5819609</v>
      </c>
      <c r="B33" s="92">
        <v>17567</v>
      </c>
      <c r="C33" s="92">
        <v>34662</v>
      </c>
      <c r="D33" s="180" t="s">
        <v>3</v>
      </c>
      <c r="E33" s="180" t="s">
        <v>197</v>
      </c>
      <c r="F33" s="181" t="s">
        <v>11</v>
      </c>
      <c r="G33" s="179">
        <v>2043</v>
      </c>
      <c r="H33" s="182"/>
      <c r="I33" s="182"/>
      <c r="J33" s="182"/>
      <c r="K33" s="182"/>
      <c r="L33" s="182">
        <f t="shared" si="4"/>
        <v>0</v>
      </c>
      <c r="M33" s="192">
        <v>4.2999999999999997E-2</v>
      </c>
      <c r="N33" s="183">
        <v>0</v>
      </c>
      <c r="O33" s="184">
        <f t="shared" si="3"/>
        <v>4.2999999999999997E-2</v>
      </c>
      <c r="P33" s="200"/>
    </row>
    <row r="34" spans="1:16" ht="16.5" customHeight="1" x14ac:dyDescent="0.25">
      <c r="A34" s="92">
        <v>5819610</v>
      </c>
      <c r="B34" s="92">
        <v>17567</v>
      </c>
      <c r="C34" s="92">
        <v>34662</v>
      </c>
      <c r="D34" s="180" t="s">
        <v>3</v>
      </c>
      <c r="E34" s="180" t="s">
        <v>197</v>
      </c>
      <c r="F34" s="181" t="s">
        <v>11</v>
      </c>
      <c r="G34" s="179">
        <v>2044</v>
      </c>
      <c r="H34" s="182"/>
      <c r="I34" s="182"/>
      <c r="J34" s="182"/>
      <c r="K34" s="182"/>
      <c r="L34" s="182">
        <f t="shared" si="4"/>
        <v>0</v>
      </c>
      <c r="M34" s="192">
        <v>4.2999999999999997E-2</v>
      </c>
      <c r="N34" s="183">
        <v>0</v>
      </c>
      <c r="O34" s="184">
        <f t="shared" si="3"/>
        <v>4.2999999999999997E-2</v>
      </c>
      <c r="P34" s="200"/>
    </row>
    <row r="35" spans="1:16" ht="16.5" customHeight="1" x14ac:dyDescent="0.25">
      <c r="A35" s="92"/>
      <c r="B35" s="92"/>
      <c r="C35" s="92"/>
      <c r="D35" s="206" t="s">
        <v>4</v>
      </c>
      <c r="E35" s="206" t="s">
        <v>197</v>
      </c>
      <c r="F35" s="207" t="s">
        <v>11</v>
      </c>
      <c r="G35" s="208">
        <v>2013</v>
      </c>
      <c r="H35" s="205">
        <f>1.8/6</f>
        <v>0.3</v>
      </c>
      <c r="I35" s="205"/>
      <c r="J35" s="205"/>
      <c r="K35" s="205"/>
      <c r="L35" s="205">
        <f t="shared" si="4"/>
        <v>0.3</v>
      </c>
      <c r="M35" s="210">
        <f>M3</f>
        <v>4.2999999999999997E-2</v>
      </c>
      <c r="N35" s="210">
        <f>N3</f>
        <v>0</v>
      </c>
      <c r="O35" s="212">
        <f t="shared" si="3"/>
        <v>4.2999999999999997E-2</v>
      </c>
    </row>
    <row r="36" spans="1:16" ht="16.5" customHeight="1" x14ac:dyDescent="0.25">
      <c r="A36" s="92"/>
      <c r="B36" s="92"/>
      <c r="C36" s="92"/>
      <c r="D36" s="206" t="s">
        <v>4</v>
      </c>
      <c r="E36" s="206" t="s">
        <v>197</v>
      </c>
      <c r="F36" s="207" t="s">
        <v>11</v>
      </c>
      <c r="G36" s="208">
        <v>2014</v>
      </c>
      <c r="H36" s="205">
        <f t="shared" ref="H36:H40" si="5">1.8/6</f>
        <v>0.3</v>
      </c>
      <c r="I36" s="205"/>
      <c r="J36" s="205"/>
      <c r="K36" s="205"/>
      <c r="L36" s="205">
        <f t="shared" si="4"/>
        <v>0.3</v>
      </c>
      <c r="M36" s="210">
        <f t="shared" ref="M36:N39" si="6">M4</f>
        <v>4.2999999999999997E-2</v>
      </c>
      <c r="N36" s="210">
        <f t="shared" si="6"/>
        <v>0</v>
      </c>
      <c r="O36" s="212">
        <f t="shared" si="3"/>
        <v>4.2999999999999997E-2</v>
      </c>
    </row>
    <row r="37" spans="1:16" ht="16.5" customHeight="1" x14ac:dyDescent="0.25">
      <c r="A37" s="92"/>
      <c r="B37" s="92"/>
      <c r="C37" s="92"/>
      <c r="D37" s="206" t="s">
        <v>4</v>
      </c>
      <c r="E37" s="206" t="s">
        <v>197</v>
      </c>
      <c r="F37" s="207" t="s">
        <v>11</v>
      </c>
      <c r="G37" s="208">
        <v>2015</v>
      </c>
      <c r="H37" s="205">
        <f t="shared" si="5"/>
        <v>0.3</v>
      </c>
      <c r="I37" s="205"/>
      <c r="J37" s="205"/>
      <c r="K37" s="205"/>
      <c r="L37" s="205">
        <f t="shared" si="4"/>
        <v>0.3</v>
      </c>
      <c r="M37" s="210">
        <f t="shared" si="6"/>
        <v>4.2999999999999997E-2</v>
      </c>
      <c r="N37" s="210">
        <f t="shared" si="6"/>
        <v>0</v>
      </c>
      <c r="O37" s="212">
        <f t="shared" si="3"/>
        <v>4.2999999999999997E-2</v>
      </c>
    </row>
    <row r="38" spans="1:16" ht="16.5" customHeight="1" x14ac:dyDescent="0.25">
      <c r="A38" s="92"/>
      <c r="B38" s="92"/>
      <c r="C38" s="92"/>
      <c r="D38" s="206" t="s">
        <v>4</v>
      </c>
      <c r="E38" s="206" t="s">
        <v>197</v>
      </c>
      <c r="F38" s="207" t="s">
        <v>11</v>
      </c>
      <c r="G38" s="208">
        <v>2016</v>
      </c>
      <c r="H38" s="205">
        <f t="shared" si="5"/>
        <v>0.3</v>
      </c>
      <c r="I38" s="205"/>
      <c r="J38" s="205"/>
      <c r="K38" s="205"/>
      <c r="L38" s="205">
        <f t="shared" si="4"/>
        <v>0.3</v>
      </c>
      <c r="M38" s="210">
        <f t="shared" si="6"/>
        <v>4.2999999999999997E-2</v>
      </c>
      <c r="N38" s="210">
        <f t="shared" si="6"/>
        <v>0</v>
      </c>
      <c r="O38" s="212">
        <f t="shared" si="3"/>
        <v>4.2999999999999997E-2</v>
      </c>
    </row>
    <row r="39" spans="1:16" ht="16.5" customHeight="1" x14ac:dyDescent="0.25">
      <c r="A39" s="92"/>
      <c r="B39" s="92"/>
      <c r="C39" s="92"/>
      <c r="D39" s="206" t="s">
        <v>4</v>
      </c>
      <c r="E39" s="206" t="s">
        <v>197</v>
      </c>
      <c r="F39" s="207" t="s">
        <v>11</v>
      </c>
      <c r="G39" s="208">
        <v>2017</v>
      </c>
      <c r="H39" s="205">
        <f t="shared" si="5"/>
        <v>0.3</v>
      </c>
      <c r="I39" s="205"/>
      <c r="J39" s="205"/>
      <c r="K39" s="205"/>
      <c r="L39" s="205">
        <f t="shared" si="4"/>
        <v>0.3</v>
      </c>
      <c r="M39" s="210">
        <f t="shared" si="6"/>
        <v>4.2999999999999997E-2</v>
      </c>
      <c r="N39" s="210">
        <f t="shared" si="6"/>
        <v>0.77500000000000002</v>
      </c>
      <c r="O39" s="212">
        <f t="shared" si="3"/>
        <v>0.81800000000000006</v>
      </c>
      <c r="P39" s="202" t="s">
        <v>219</v>
      </c>
    </row>
    <row r="40" spans="1:16" ht="16.5" customHeight="1" x14ac:dyDescent="0.25">
      <c r="A40" s="92">
        <v>5819839</v>
      </c>
      <c r="B40" s="92">
        <v>17567</v>
      </c>
      <c r="C40" s="92">
        <v>34663</v>
      </c>
      <c r="D40" s="174" t="s">
        <v>4</v>
      </c>
      <c r="E40" s="174" t="s">
        <v>197</v>
      </c>
      <c r="F40" s="175" t="s">
        <v>11</v>
      </c>
      <c r="G40" s="176">
        <v>2018</v>
      </c>
      <c r="H40" s="194">
        <f t="shared" si="5"/>
        <v>0.3</v>
      </c>
      <c r="I40" s="194">
        <v>0</v>
      </c>
      <c r="J40" s="194">
        <v>0</v>
      </c>
      <c r="K40" s="194">
        <v>0</v>
      </c>
      <c r="L40" s="194">
        <f t="shared" si="4"/>
        <v>0.3</v>
      </c>
      <c r="M40" s="257">
        <v>4.2999999999999997E-2</v>
      </c>
      <c r="N40" s="185">
        <v>0</v>
      </c>
      <c r="O40" s="178">
        <f t="shared" si="3"/>
        <v>4.2999999999999997E-2</v>
      </c>
    </row>
    <row r="41" spans="1:16" ht="16.5" customHeight="1" x14ac:dyDescent="0.25">
      <c r="A41" s="92">
        <v>5819840</v>
      </c>
      <c r="B41" s="92">
        <v>17567</v>
      </c>
      <c r="C41" s="92">
        <v>34663</v>
      </c>
      <c r="D41" s="174" t="s">
        <v>4</v>
      </c>
      <c r="E41" s="174" t="s">
        <v>197</v>
      </c>
      <c r="F41" s="175" t="s">
        <v>11</v>
      </c>
      <c r="G41" s="176">
        <v>2019</v>
      </c>
      <c r="H41" s="194">
        <v>0.36</v>
      </c>
      <c r="I41" s="194">
        <v>0</v>
      </c>
      <c r="J41" s="194">
        <v>0</v>
      </c>
      <c r="K41" s="194">
        <v>0</v>
      </c>
      <c r="L41" s="194">
        <f t="shared" si="4"/>
        <v>0.36</v>
      </c>
      <c r="M41" s="257">
        <v>4.2999999999999997E-2</v>
      </c>
      <c r="N41" s="185">
        <v>0</v>
      </c>
      <c r="O41" s="178">
        <f t="shared" ref="O41" si="7">M41+N41</f>
        <v>4.2999999999999997E-2</v>
      </c>
    </row>
    <row r="42" spans="1:16" ht="16.5" customHeight="1" x14ac:dyDescent="0.25">
      <c r="A42" s="92">
        <v>5819841</v>
      </c>
      <c r="B42" s="92">
        <v>17567</v>
      </c>
      <c r="C42" s="92">
        <v>34663</v>
      </c>
      <c r="D42" s="174" t="s">
        <v>4</v>
      </c>
      <c r="E42" s="174" t="s">
        <v>197</v>
      </c>
      <c r="F42" s="175" t="s">
        <v>11</v>
      </c>
      <c r="G42" s="176">
        <v>2020</v>
      </c>
      <c r="H42" s="194">
        <v>1.44</v>
      </c>
      <c r="I42" s="194">
        <v>2.98</v>
      </c>
      <c r="J42" s="194">
        <v>3.25</v>
      </c>
      <c r="K42" s="194">
        <v>5.81</v>
      </c>
      <c r="L42" s="194">
        <f t="shared" si="4"/>
        <v>13.48</v>
      </c>
      <c r="M42" s="258">
        <v>4.2999999999999997E-2</v>
      </c>
      <c r="N42" s="186">
        <v>0</v>
      </c>
      <c r="O42" s="178">
        <f t="shared" si="3"/>
        <v>4.2999999999999997E-2</v>
      </c>
    </row>
    <row r="43" spans="1:16" ht="16.5" customHeight="1" x14ac:dyDescent="0.25">
      <c r="A43" s="92">
        <v>5819842</v>
      </c>
      <c r="B43" s="92">
        <v>17567</v>
      </c>
      <c r="C43" s="92">
        <v>34663</v>
      </c>
      <c r="D43" s="174" t="s">
        <v>4</v>
      </c>
      <c r="E43" s="174" t="s">
        <v>197</v>
      </c>
      <c r="F43" s="175" t="s">
        <v>11</v>
      </c>
      <c r="G43" s="176">
        <v>2021</v>
      </c>
      <c r="H43" s="194">
        <v>0</v>
      </c>
      <c r="I43" s="194">
        <v>4.76</v>
      </c>
      <c r="J43" s="194">
        <v>5.2</v>
      </c>
      <c r="K43" s="194">
        <v>9.2899999999999991</v>
      </c>
      <c r="L43" s="194">
        <f t="shared" si="4"/>
        <v>19.25</v>
      </c>
      <c r="M43" s="258">
        <v>4.2999999999999997E-2</v>
      </c>
      <c r="N43" s="186">
        <v>0</v>
      </c>
      <c r="O43" s="178">
        <f t="shared" ref="O43" si="8">M43+N43</f>
        <v>4.2999999999999997E-2</v>
      </c>
    </row>
    <row r="44" spans="1:16" ht="16.5" customHeight="1" x14ac:dyDescent="0.25">
      <c r="A44" s="92">
        <v>5819843</v>
      </c>
      <c r="B44" s="92">
        <v>17567</v>
      </c>
      <c r="C44" s="92">
        <v>34663</v>
      </c>
      <c r="D44" s="174" t="s">
        <v>4</v>
      </c>
      <c r="E44" s="174" t="s">
        <v>197</v>
      </c>
      <c r="F44" s="175" t="s">
        <v>11</v>
      </c>
      <c r="G44" s="176">
        <v>2022</v>
      </c>
      <c r="H44" s="194">
        <v>0</v>
      </c>
      <c r="I44" s="194">
        <v>2.38</v>
      </c>
      <c r="J44" s="194">
        <v>2.6</v>
      </c>
      <c r="K44" s="194">
        <v>4.6399999999999997</v>
      </c>
      <c r="L44" s="194">
        <f t="shared" si="4"/>
        <v>9.620000000000001</v>
      </c>
      <c r="M44" s="257">
        <v>4.2999999999999997E-2</v>
      </c>
      <c r="N44" s="185">
        <v>0</v>
      </c>
      <c r="O44" s="178">
        <f t="shared" si="3"/>
        <v>4.2999999999999997E-2</v>
      </c>
    </row>
    <row r="45" spans="1:16" ht="16.5" customHeight="1" x14ac:dyDescent="0.25">
      <c r="A45" s="92">
        <v>5819844</v>
      </c>
      <c r="B45" s="92">
        <v>17567</v>
      </c>
      <c r="C45" s="92">
        <v>34663</v>
      </c>
      <c r="D45" s="174" t="s">
        <v>4</v>
      </c>
      <c r="E45" s="174" t="s">
        <v>197</v>
      </c>
      <c r="F45" s="175" t="s">
        <v>11</v>
      </c>
      <c r="G45" s="176">
        <v>2023</v>
      </c>
      <c r="H45" s="194">
        <v>0</v>
      </c>
      <c r="I45" s="194">
        <v>1.19</v>
      </c>
      <c r="J45" s="194">
        <v>1.3</v>
      </c>
      <c r="K45" s="194">
        <v>2.3199999999999998</v>
      </c>
      <c r="L45" s="194">
        <f t="shared" si="4"/>
        <v>4.8100000000000005</v>
      </c>
      <c r="M45" s="257">
        <v>4.2999999999999997E-2</v>
      </c>
      <c r="N45" s="185">
        <v>0</v>
      </c>
      <c r="O45" s="178">
        <f t="shared" si="3"/>
        <v>4.2999999999999997E-2</v>
      </c>
    </row>
    <row r="46" spans="1:16" ht="16.5" customHeight="1" x14ac:dyDescent="0.25">
      <c r="A46" s="92">
        <v>5819845</v>
      </c>
      <c r="B46" s="92">
        <v>17567</v>
      </c>
      <c r="C46" s="92">
        <v>34663</v>
      </c>
      <c r="D46" s="174" t="s">
        <v>4</v>
      </c>
      <c r="E46" s="174" t="s">
        <v>197</v>
      </c>
      <c r="F46" s="175" t="s">
        <v>11</v>
      </c>
      <c r="G46" s="176">
        <v>2024</v>
      </c>
      <c r="H46" s="194">
        <v>0</v>
      </c>
      <c r="I46" s="194">
        <v>0.6</v>
      </c>
      <c r="J46" s="194">
        <v>0.65</v>
      </c>
      <c r="K46" s="194">
        <v>1.1599999999999999</v>
      </c>
      <c r="L46" s="194">
        <f t="shared" si="4"/>
        <v>2.41</v>
      </c>
      <c r="M46" s="257">
        <v>4.2999999999999997E-2</v>
      </c>
      <c r="N46" s="185">
        <v>0</v>
      </c>
      <c r="O46" s="178">
        <f t="shared" si="3"/>
        <v>4.2999999999999997E-2</v>
      </c>
    </row>
    <row r="47" spans="1:16" ht="16.5" customHeight="1" x14ac:dyDescent="0.25">
      <c r="A47" s="92">
        <v>5819846</v>
      </c>
      <c r="B47" s="92">
        <v>17567</v>
      </c>
      <c r="C47" s="92">
        <v>34663</v>
      </c>
      <c r="D47" s="180" t="s">
        <v>4</v>
      </c>
      <c r="E47" s="180" t="s">
        <v>197</v>
      </c>
      <c r="F47" s="181" t="s">
        <v>11</v>
      </c>
      <c r="G47" s="179">
        <v>2025</v>
      </c>
      <c r="H47" s="182"/>
      <c r="I47" s="182"/>
      <c r="J47" s="182"/>
      <c r="K47" s="182"/>
      <c r="L47" s="182">
        <f t="shared" si="4"/>
        <v>0</v>
      </c>
      <c r="M47" s="192">
        <v>3.6999999999999998E-2</v>
      </c>
      <c r="N47" s="183">
        <v>0</v>
      </c>
      <c r="O47" s="184">
        <f t="shared" si="3"/>
        <v>3.6999999999999998E-2</v>
      </c>
    </row>
    <row r="48" spans="1:16" ht="16.5" customHeight="1" x14ac:dyDescent="0.25">
      <c r="A48" s="92">
        <v>5819847</v>
      </c>
      <c r="B48" s="92">
        <v>17567</v>
      </c>
      <c r="C48" s="92">
        <v>34663</v>
      </c>
      <c r="D48" s="180" t="s">
        <v>4</v>
      </c>
      <c r="E48" s="180" t="s">
        <v>197</v>
      </c>
      <c r="F48" s="181" t="s">
        <v>11</v>
      </c>
      <c r="G48" s="179">
        <v>2026</v>
      </c>
      <c r="H48" s="182"/>
      <c r="I48" s="182"/>
      <c r="J48" s="182"/>
      <c r="K48" s="182"/>
      <c r="L48" s="182">
        <f t="shared" si="4"/>
        <v>0</v>
      </c>
      <c r="M48" s="192">
        <v>3.6999999999999998E-2</v>
      </c>
      <c r="N48" s="183">
        <v>0</v>
      </c>
      <c r="O48" s="184">
        <f t="shared" si="3"/>
        <v>3.6999999999999998E-2</v>
      </c>
    </row>
    <row r="49" spans="1:16" ht="16.5" customHeight="1" x14ac:dyDescent="0.25">
      <c r="A49" s="92">
        <v>5819848</v>
      </c>
      <c r="B49" s="92">
        <v>17567</v>
      </c>
      <c r="C49" s="92">
        <v>34663</v>
      </c>
      <c r="D49" s="180" t="s">
        <v>4</v>
      </c>
      <c r="E49" s="180" t="s">
        <v>197</v>
      </c>
      <c r="F49" s="181" t="s">
        <v>11</v>
      </c>
      <c r="G49" s="179">
        <v>2027</v>
      </c>
      <c r="H49" s="182"/>
      <c r="I49" s="182"/>
      <c r="J49" s="182"/>
      <c r="K49" s="182"/>
      <c r="L49" s="182">
        <f t="shared" si="4"/>
        <v>0</v>
      </c>
      <c r="M49" s="192">
        <v>3.6999999999999998E-2</v>
      </c>
      <c r="N49" s="183">
        <v>0</v>
      </c>
      <c r="O49" s="184">
        <f t="shared" si="3"/>
        <v>3.6999999999999998E-2</v>
      </c>
    </row>
    <row r="50" spans="1:16" ht="16.5" customHeight="1" x14ac:dyDescent="0.25">
      <c r="A50" s="92">
        <v>5819849</v>
      </c>
      <c r="B50" s="92">
        <v>17567</v>
      </c>
      <c r="C50" s="92">
        <v>34663</v>
      </c>
      <c r="D50" s="180" t="s">
        <v>4</v>
      </c>
      <c r="E50" s="180" t="s">
        <v>197</v>
      </c>
      <c r="F50" s="181" t="s">
        <v>11</v>
      </c>
      <c r="G50" s="179">
        <v>2028</v>
      </c>
      <c r="H50" s="182"/>
      <c r="I50" s="182"/>
      <c r="J50" s="182"/>
      <c r="K50" s="182"/>
      <c r="L50" s="182">
        <f t="shared" si="4"/>
        <v>0</v>
      </c>
      <c r="M50" s="192">
        <v>3.6999999999999998E-2</v>
      </c>
      <c r="N50" s="183">
        <v>0</v>
      </c>
      <c r="O50" s="184">
        <f t="shared" si="3"/>
        <v>3.6999999999999998E-2</v>
      </c>
    </row>
    <row r="51" spans="1:16" ht="16.5" customHeight="1" x14ac:dyDescent="0.25">
      <c r="A51" s="92">
        <v>5819850</v>
      </c>
      <c r="B51" s="92">
        <v>17567</v>
      </c>
      <c r="C51" s="92">
        <v>34663</v>
      </c>
      <c r="D51" s="180" t="s">
        <v>4</v>
      </c>
      <c r="E51" s="180" t="s">
        <v>197</v>
      </c>
      <c r="F51" s="181" t="s">
        <v>11</v>
      </c>
      <c r="G51" s="179">
        <v>2029</v>
      </c>
      <c r="H51" s="182"/>
      <c r="I51" s="182"/>
      <c r="J51" s="182"/>
      <c r="K51" s="182"/>
      <c r="L51" s="182">
        <f t="shared" si="4"/>
        <v>0</v>
      </c>
      <c r="M51" s="192">
        <v>3.6999999999999998E-2</v>
      </c>
      <c r="N51" s="183">
        <v>0</v>
      </c>
      <c r="O51" s="184">
        <f t="shared" si="3"/>
        <v>3.6999999999999998E-2</v>
      </c>
    </row>
    <row r="52" spans="1:16" ht="16.5" customHeight="1" x14ac:dyDescent="0.25">
      <c r="A52" s="92">
        <v>5819851</v>
      </c>
      <c r="B52" s="92">
        <v>17567</v>
      </c>
      <c r="C52" s="92">
        <v>34663</v>
      </c>
      <c r="D52" s="180" t="s">
        <v>4</v>
      </c>
      <c r="E52" s="180" t="s">
        <v>197</v>
      </c>
      <c r="F52" s="181" t="s">
        <v>11</v>
      </c>
      <c r="G52" s="179">
        <v>2030</v>
      </c>
      <c r="H52" s="182"/>
      <c r="I52" s="182"/>
      <c r="J52" s="182"/>
      <c r="K52" s="182"/>
      <c r="L52" s="182">
        <f t="shared" si="4"/>
        <v>0</v>
      </c>
      <c r="M52" s="192">
        <v>3.6999999999999998E-2</v>
      </c>
      <c r="N52" s="183">
        <v>0</v>
      </c>
      <c r="O52" s="184">
        <f t="shared" si="3"/>
        <v>3.6999999999999998E-2</v>
      </c>
    </row>
    <row r="53" spans="1:16" ht="16.5" customHeight="1" x14ac:dyDescent="0.25">
      <c r="A53" s="92">
        <v>5819852</v>
      </c>
      <c r="B53" s="92">
        <v>17567</v>
      </c>
      <c r="C53" s="92">
        <v>34663</v>
      </c>
      <c r="D53" s="180" t="s">
        <v>4</v>
      </c>
      <c r="E53" s="180" t="s">
        <v>197</v>
      </c>
      <c r="F53" s="181" t="s">
        <v>11</v>
      </c>
      <c r="G53" s="179">
        <v>2031</v>
      </c>
      <c r="H53" s="182"/>
      <c r="I53" s="182"/>
      <c r="J53" s="182"/>
      <c r="K53" s="182"/>
      <c r="L53" s="182">
        <f t="shared" si="4"/>
        <v>0</v>
      </c>
      <c r="M53" s="192">
        <v>3.6999999999999998E-2</v>
      </c>
      <c r="N53" s="183">
        <v>0</v>
      </c>
      <c r="O53" s="184">
        <f t="shared" si="3"/>
        <v>3.6999999999999998E-2</v>
      </c>
    </row>
    <row r="54" spans="1:16" ht="16.5" customHeight="1" x14ac:dyDescent="0.25">
      <c r="A54" s="92">
        <v>5819853</v>
      </c>
      <c r="B54" s="92">
        <v>17567</v>
      </c>
      <c r="C54" s="92">
        <v>34663</v>
      </c>
      <c r="D54" s="180" t="s">
        <v>4</v>
      </c>
      <c r="E54" s="180" t="s">
        <v>197</v>
      </c>
      <c r="F54" s="181" t="s">
        <v>11</v>
      </c>
      <c r="G54" s="179">
        <v>2032</v>
      </c>
      <c r="H54" s="182"/>
      <c r="I54" s="182"/>
      <c r="J54" s="182"/>
      <c r="K54" s="182"/>
      <c r="L54" s="182">
        <f t="shared" si="4"/>
        <v>0</v>
      </c>
      <c r="M54" s="192">
        <v>3.6999999999999998E-2</v>
      </c>
      <c r="N54" s="183">
        <v>0</v>
      </c>
      <c r="O54" s="184">
        <f t="shared" si="3"/>
        <v>3.6999999999999998E-2</v>
      </c>
    </row>
    <row r="55" spans="1:16" ht="16.5" customHeight="1" x14ac:dyDescent="0.25">
      <c r="A55" s="92">
        <v>5819854</v>
      </c>
      <c r="B55" s="92">
        <v>17567</v>
      </c>
      <c r="C55" s="92">
        <v>34663</v>
      </c>
      <c r="D55" s="180" t="s">
        <v>4</v>
      </c>
      <c r="E55" s="180" t="s">
        <v>197</v>
      </c>
      <c r="F55" s="181" t="s">
        <v>11</v>
      </c>
      <c r="G55" s="179">
        <v>2033</v>
      </c>
      <c r="H55" s="182"/>
      <c r="I55" s="182"/>
      <c r="J55" s="182"/>
      <c r="K55" s="182"/>
      <c r="L55" s="182">
        <f t="shared" si="4"/>
        <v>0</v>
      </c>
      <c r="M55" s="192">
        <v>3.6999999999999998E-2</v>
      </c>
      <c r="N55" s="183">
        <v>0</v>
      </c>
      <c r="O55" s="184">
        <f t="shared" si="3"/>
        <v>3.6999999999999998E-2</v>
      </c>
    </row>
    <row r="56" spans="1:16" ht="16.5" customHeight="1" x14ac:dyDescent="0.25">
      <c r="A56" s="92">
        <v>5819855</v>
      </c>
      <c r="B56" s="92">
        <v>17567</v>
      </c>
      <c r="C56" s="92">
        <v>34663</v>
      </c>
      <c r="D56" s="180" t="s">
        <v>4</v>
      </c>
      <c r="E56" s="180" t="s">
        <v>197</v>
      </c>
      <c r="F56" s="181" t="s">
        <v>11</v>
      </c>
      <c r="G56" s="179">
        <v>2034</v>
      </c>
      <c r="H56" s="182"/>
      <c r="I56" s="182"/>
      <c r="J56" s="182"/>
      <c r="K56" s="182"/>
      <c r="L56" s="182">
        <f t="shared" si="4"/>
        <v>0</v>
      </c>
      <c r="M56" s="192">
        <v>3.6999999999999998E-2</v>
      </c>
      <c r="N56" s="183">
        <v>0</v>
      </c>
      <c r="O56" s="184">
        <f t="shared" si="3"/>
        <v>3.6999999999999998E-2</v>
      </c>
      <c r="P56" s="202" t="s">
        <v>223</v>
      </c>
    </row>
    <row r="57" spans="1:16" ht="16.5" customHeight="1" x14ac:dyDescent="0.25">
      <c r="A57" s="92">
        <v>5819856</v>
      </c>
      <c r="B57" s="92">
        <v>17567</v>
      </c>
      <c r="C57" s="92">
        <v>34663</v>
      </c>
      <c r="D57" s="180" t="s">
        <v>4</v>
      </c>
      <c r="E57" s="180" t="s">
        <v>197</v>
      </c>
      <c r="F57" s="181" t="s">
        <v>11</v>
      </c>
      <c r="G57" s="179">
        <v>2035</v>
      </c>
      <c r="H57" s="182"/>
      <c r="I57" s="182"/>
      <c r="J57" s="182"/>
      <c r="K57" s="182"/>
      <c r="L57" s="182">
        <f t="shared" si="4"/>
        <v>0</v>
      </c>
      <c r="M57" s="192">
        <v>3.6999999999999998E-2</v>
      </c>
      <c r="N57" s="183">
        <v>0.77500000000000002</v>
      </c>
      <c r="O57" s="184">
        <f t="shared" si="3"/>
        <v>0.81200000000000006</v>
      </c>
      <c r="P57" s="202" t="s">
        <v>222</v>
      </c>
    </row>
    <row r="58" spans="1:16" ht="16.5" customHeight="1" x14ac:dyDescent="0.25">
      <c r="A58" s="92">
        <v>5819857</v>
      </c>
      <c r="B58" s="92">
        <v>17567</v>
      </c>
      <c r="C58" s="92">
        <v>34663</v>
      </c>
      <c r="D58" s="180" t="s">
        <v>4</v>
      </c>
      <c r="E58" s="180" t="s">
        <v>197</v>
      </c>
      <c r="F58" s="181" t="s">
        <v>11</v>
      </c>
      <c r="G58" s="179">
        <v>2036</v>
      </c>
      <c r="H58" s="182"/>
      <c r="I58" s="182"/>
      <c r="J58" s="182"/>
      <c r="K58" s="182"/>
      <c r="L58" s="182">
        <f t="shared" si="4"/>
        <v>0</v>
      </c>
      <c r="M58" s="192">
        <v>3.6999999999999998E-2</v>
      </c>
      <c r="N58" s="183">
        <v>0.65</v>
      </c>
      <c r="O58" s="184">
        <f t="shared" si="3"/>
        <v>0.68700000000000006</v>
      </c>
      <c r="P58" s="202" t="s">
        <v>221</v>
      </c>
    </row>
    <row r="59" spans="1:16" ht="16.5" customHeight="1" x14ac:dyDescent="0.25">
      <c r="A59" s="92">
        <v>5819858</v>
      </c>
      <c r="B59" s="92">
        <v>17567</v>
      </c>
      <c r="C59" s="92">
        <v>34663</v>
      </c>
      <c r="D59" s="180" t="s">
        <v>4</v>
      </c>
      <c r="E59" s="180" t="s">
        <v>197</v>
      </c>
      <c r="F59" s="181" t="s">
        <v>11</v>
      </c>
      <c r="G59" s="179">
        <v>2037</v>
      </c>
      <c r="H59" s="182"/>
      <c r="I59" s="182"/>
      <c r="J59" s="182"/>
      <c r="K59" s="182"/>
      <c r="L59" s="182">
        <f t="shared" si="4"/>
        <v>0</v>
      </c>
      <c r="M59" s="192">
        <v>3.6999999999999998E-2</v>
      </c>
      <c r="N59" s="183">
        <v>0</v>
      </c>
      <c r="O59" s="184">
        <f t="shared" si="3"/>
        <v>3.6999999999999998E-2</v>
      </c>
    </row>
    <row r="60" spans="1:16" ht="16.5" customHeight="1" x14ac:dyDescent="0.25">
      <c r="A60" s="92">
        <v>5819859</v>
      </c>
      <c r="B60" s="92">
        <v>17567</v>
      </c>
      <c r="C60" s="92">
        <v>34663</v>
      </c>
      <c r="D60" s="180" t="s">
        <v>4</v>
      </c>
      <c r="E60" s="180" t="s">
        <v>197</v>
      </c>
      <c r="F60" s="181" t="s">
        <v>11</v>
      </c>
      <c r="G60" s="179">
        <v>2038</v>
      </c>
      <c r="H60" s="182"/>
      <c r="I60" s="182"/>
      <c r="J60" s="182"/>
      <c r="K60" s="182"/>
      <c r="L60" s="182">
        <f t="shared" si="4"/>
        <v>0</v>
      </c>
      <c r="M60" s="192">
        <v>3.6999999999999998E-2</v>
      </c>
      <c r="N60" s="183">
        <v>0</v>
      </c>
      <c r="O60" s="184">
        <f t="shared" si="3"/>
        <v>3.6999999999999998E-2</v>
      </c>
    </row>
    <row r="61" spans="1:16" ht="16.5" customHeight="1" x14ac:dyDescent="0.25">
      <c r="A61" s="92">
        <v>5819860</v>
      </c>
      <c r="B61" s="92">
        <v>17567</v>
      </c>
      <c r="C61" s="92">
        <v>34663</v>
      </c>
      <c r="D61" s="180" t="s">
        <v>4</v>
      </c>
      <c r="E61" s="180" t="s">
        <v>197</v>
      </c>
      <c r="F61" s="181" t="s">
        <v>11</v>
      </c>
      <c r="G61" s="179">
        <v>2039</v>
      </c>
      <c r="H61" s="182"/>
      <c r="I61" s="182"/>
      <c r="J61" s="182"/>
      <c r="K61" s="182"/>
      <c r="L61" s="182">
        <f t="shared" si="4"/>
        <v>0</v>
      </c>
      <c r="M61" s="192">
        <v>3.6999999999999998E-2</v>
      </c>
      <c r="N61" s="183">
        <v>0</v>
      </c>
      <c r="O61" s="184">
        <f t="shared" si="3"/>
        <v>3.6999999999999998E-2</v>
      </c>
    </row>
    <row r="62" spans="1:16" ht="16.5" customHeight="1" x14ac:dyDescent="0.25">
      <c r="A62" s="92">
        <v>5819861</v>
      </c>
      <c r="B62" s="92">
        <v>17567</v>
      </c>
      <c r="C62" s="92">
        <v>34663</v>
      </c>
      <c r="D62" s="180" t="s">
        <v>4</v>
      </c>
      <c r="E62" s="180" t="s">
        <v>197</v>
      </c>
      <c r="F62" s="181" t="s">
        <v>11</v>
      </c>
      <c r="G62" s="179">
        <v>2040</v>
      </c>
      <c r="H62" s="182"/>
      <c r="I62" s="182"/>
      <c r="J62" s="182"/>
      <c r="K62" s="182"/>
      <c r="L62" s="182">
        <f t="shared" si="4"/>
        <v>0</v>
      </c>
      <c r="M62" s="192">
        <v>3.6999999999999998E-2</v>
      </c>
      <c r="N62" s="183">
        <v>0</v>
      </c>
      <c r="O62" s="184">
        <f t="shared" si="3"/>
        <v>3.6999999999999998E-2</v>
      </c>
    </row>
    <row r="63" spans="1:16" ht="16.5" customHeight="1" x14ac:dyDescent="0.25">
      <c r="A63" s="92">
        <v>5819862</v>
      </c>
      <c r="B63" s="92">
        <v>17567</v>
      </c>
      <c r="C63" s="92">
        <v>34663</v>
      </c>
      <c r="D63" s="180" t="s">
        <v>4</v>
      </c>
      <c r="E63" s="180" t="s">
        <v>197</v>
      </c>
      <c r="F63" s="181" t="s">
        <v>11</v>
      </c>
      <c r="G63" s="179">
        <v>2041</v>
      </c>
      <c r="H63" s="182"/>
      <c r="I63" s="182"/>
      <c r="J63" s="182"/>
      <c r="K63" s="182"/>
      <c r="L63" s="182">
        <f t="shared" si="4"/>
        <v>0</v>
      </c>
      <c r="M63" s="192">
        <v>3.6999999999999998E-2</v>
      </c>
      <c r="N63" s="183">
        <v>0</v>
      </c>
      <c r="O63" s="184">
        <f t="shared" si="3"/>
        <v>3.6999999999999998E-2</v>
      </c>
    </row>
    <row r="64" spans="1:16" ht="16.5" customHeight="1" x14ac:dyDescent="0.25">
      <c r="A64" s="92">
        <v>5819863</v>
      </c>
      <c r="B64" s="92">
        <v>17567</v>
      </c>
      <c r="C64" s="92">
        <v>34663</v>
      </c>
      <c r="D64" s="180" t="s">
        <v>4</v>
      </c>
      <c r="E64" s="180" t="s">
        <v>197</v>
      </c>
      <c r="F64" s="181" t="s">
        <v>11</v>
      </c>
      <c r="G64" s="179">
        <v>2042</v>
      </c>
      <c r="H64" s="182"/>
      <c r="I64" s="182"/>
      <c r="J64" s="182"/>
      <c r="K64" s="182"/>
      <c r="L64" s="182">
        <f t="shared" si="4"/>
        <v>0</v>
      </c>
      <c r="M64" s="192">
        <v>3.6999999999999998E-2</v>
      </c>
      <c r="N64" s="183">
        <v>0</v>
      </c>
      <c r="O64" s="184">
        <f t="shared" si="3"/>
        <v>3.6999999999999998E-2</v>
      </c>
    </row>
    <row r="65" spans="1:16" ht="16.5" customHeight="1" x14ac:dyDescent="0.25">
      <c r="A65" s="92">
        <v>5819864</v>
      </c>
      <c r="B65" s="92">
        <v>17567</v>
      </c>
      <c r="C65" s="92">
        <v>34663</v>
      </c>
      <c r="D65" s="180" t="s">
        <v>4</v>
      </c>
      <c r="E65" s="180" t="s">
        <v>197</v>
      </c>
      <c r="F65" s="181" t="s">
        <v>11</v>
      </c>
      <c r="G65" s="179">
        <v>2043</v>
      </c>
      <c r="H65" s="182"/>
      <c r="I65" s="182"/>
      <c r="J65" s="182"/>
      <c r="K65" s="182"/>
      <c r="L65" s="182">
        <f t="shared" si="4"/>
        <v>0</v>
      </c>
      <c r="M65" s="192">
        <v>3.6999999999999998E-2</v>
      </c>
      <c r="N65" s="183">
        <v>0</v>
      </c>
      <c r="O65" s="184">
        <f t="shared" si="3"/>
        <v>3.6999999999999998E-2</v>
      </c>
    </row>
    <row r="66" spans="1:16" ht="16.5" customHeight="1" x14ac:dyDescent="0.25">
      <c r="A66" s="92">
        <v>5819865</v>
      </c>
      <c r="B66" s="92">
        <v>17567</v>
      </c>
      <c r="C66" s="92">
        <v>34663</v>
      </c>
      <c r="D66" s="180" t="s">
        <v>4</v>
      </c>
      <c r="E66" s="180" t="s">
        <v>197</v>
      </c>
      <c r="F66" s="181" t="s">
        <v>11</v>
      </c>
      <c r="G66" s="179">
        <v>2044</v>
      </c>
      <c r="H66" s="182"/>
      <c r="I66" s="182"/>
      <c r="J66" s="182"/>
      <c r="K66" s="182"/>
      <c r="L66" s="182">
        <f t="shared" si="4"/>
        <v>0</v>
      </c>
      <c r="M66" s="192">
        <v>3.6999999999999998E-2</v>
      </c>
      <c r="N66" s="183">
        <v>0</v>
      </c>
      <c r="O66" s="184">
        <f t="shared" si="3"/>
        <v>3.6999999999999998E-2</v>
      </c>
    </row>
    <row r="67" spans="1:16" ht="16.5" customHeight="1" x14ac:dyDescent="0.25">
      <c r="P67" s="87" t="s">
        <v>224</v>
      </c>
    </row>
  </sheetData>
  <mergeCells count="1">
    <mergeCell ref="H1:O1"/>
  </mergeCells>
  <conditionalFormatting sqref="H8:O34 L3:M7 O3:O7 H47:O66 L35:L39 O35:O39 H40:L46 N40:O46">
    <cfRule type="cellIs" dxfId="10" priority="5" operator="greaterThan">
      <formula>0</formula>
    </cfRule>
  </conditionalFormatting>
  <conditionalFormatting sqref="H3:K7 N7">
    <cfRule type="cellIs" dxfId="9" priority="4" operator="greaterThan">
      <formula>0</formula>
    </cfRule>
  </conditionalFormatting>
  <conditionalFormatting sqref="N3:N6">
    <cfRule type="cellIs" dxfId="8" priority="3" operator="greaterThan">
      <formula>0</formula>
    </cfRule>
  </conditionalFormatting>
  <conditionalFormatting sqref="H35:K39 M35:N39">
    <cfRule type="cellIs" dxfId="7" priority="2" operator="greaterThan">
      <formula>0</formula>
    </cfRule>
  </conditionalFormatting>
  <conditionalFormatting sqref="M40:M46">
    <cfRule type="cellIs" dxfId="6" priority="1" operator="greaterThan">
      <formula>0</formula>
    </cfRule>
  </conditionalFormatting>
  <printOptions horizontalCentered="1" headings="1"/>
  <pageMargins left="0.26041666666666669" right="0.26041666666666669" top="0.52083333333333337" bottom="0.52083333333333337" header="0" footer="0"/>
  <pageSetup scale="46" fitToWidth="0" orientation="landscape" useFirstPageNumber="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J36"/>
  <sheetViews>
    <sheetView zoomScale="90" zoomScaleNormal="90" workbookViewId="0">
      <pane xSplit="1" ySplit="3" topLeftCell="B16" activePane="bottomRight" state="frozen"/>
      <selection activeCell="G14" sqref="G14"/>
      <selection pane="topRight" activeCell="G14" sqref="G14"/>
      <selection pane="bottomLeft" activeCell="G14" sqref="G14"/>
      <selection pane="bottomRight" activeCell="G4" sqref="G4"/>
    </sheetView>
  </sheetViews>
  <sheetFormatPr defaultColWidth="9.140625" defaultRowHeight="15" x14ac:dyDescent="0.25"/>
  <cols>
    <col min="1" max="1" width="9.140625" style="54"/>
    <col min="2" max="2" width="9.140625" style="118"/>
    <col min="3" max="5" width="9.140625" style="54"/>
    <col min="6" max="6" width="10" style="54" customWidth="1"/>
    <col min="7" max="7" width="10.140625" style="54" customWidth="1"/>
    <col min="8" max="8" width="9.7109375" style="54" customWidth="1"/>
    <col min="9" max="9" width="9.5703125" style="54" customWidth="1"/>
    <col min="10" max="10" width="10" style="54" customWidth="1"/>
    <col min="11" max="16384" width="9.140625" style="54"/>
  </cols>
  <sheetData>
    <row r="1" spans="1:10" x14ac:dyDescent="0.25">
      <c r="A1" s="95" t="s">
        <v>77</v>
      </c>
    </row>
    <row r="2" spans="1:10" x14ac:dyDescent="0.25">
      <c r="A2" s="119"/>
      <c r="B2" s="120"/>
      <c r="C2" s="121"/>
      <c r="D2" s="121"/>
      <c r="E2" s="349" t="s">
        <v>55</v>
      </c>
      <c r="F2" s="349"/>
      <c r="G2" s="350"/>
      <c r="H2" s="349" t="s">
        <v>54</v>
      </c>
      <c r="I2" s="349"/>
      <c r="J2" s="349"/>
    </row>
    <row r="3" spans="1:10" ht="30" x14ac:dyDescent="0.25">
      <c r="A3" s="122" t="s">
        <v>0</v>
      </c>
      <c r="B3" s="123" t="s">
        <v>52</v>
      </c>
      <c r="C3" s="124" t="s">
        <v>225</v>
      </c>
      <c r="D3" s="124" t="s">
        <v>53</v>
      </c>
      <c r="E3" s="125" t="s">
        <v>52</v>
      </c>
      <c r="F3" s="124" t="s">
        <v>225</v>
      </c>
      <c r="G3" s="127" t="s">
        <v>103</v>
      </c>
      <c r="H3" s="125" t="s">
        <v>52</v>
      </c>
      <c r="I3" s="124" t="s">
        <v>225</v>
      </c>
      <c r="J3" s="126" t="s">
        <v>103</v>
      </c>
    </row>
    <row r="4" spans="1:10" x14ac:dyDescent="0.25">
      <c r="A4" s="128">
        <v>2013</v>
      </c>
      <c r="B4" s="129">
        <f>'Project Costs'!L35-'Project Costs'!L3</f>
        <v>0.3</v>
      </c>
      <c r="C4" s="129">
        <f>'Project Costs'!O35-'Project Costs'!O3</f>
        <v>0</v>
      </c>
      <c r="D4" s="129">
        <f t="shared" ref="D4:D8" si="0">B4+C4</f>
        <v>0.3</v>
      </c>
      <c r="E4" s="129">
        <f>B4*$G4</f>
        <v>0.34778222228999994</v>
      </c>
      <c r="F4" s="129">
        <f t="shared" ref="E4:F8" si="1">C4*$G4</f>
        <v>0</v>
      </c>
      <c r="G4" s="130">
        <f t="shared" ref="G4:G8" si="2">1/((1+0.03)^($A4-$A$9))</f>
        <v>1.1592740742999998</v>
      </c>
      <c r="H4" s="129">
        <f t="shared" ref="H4:H8" si="3">B4*J4</f>
        <v>0.42076551921000005</v>
      </c>
      <c r="I4" s="129">
        <f t="shared" ref="I4:I8" si="4">C4*$J4</f>
        <v>0</v>
      </c>
      <c r="J4" s="216">
        <f t="shared" ref="J4:J8" si="5">1/((1+0.07)^($A4-$A$9))</f>
        <v>1.4025517307000002</v>
      </c>
    </row>
    <row r="5" spans="1:10" x14ac:dyDescent="0.25">
      <c r="A5" s="128">
        <v>2014</v>
      </c>
      <c r="B5" s="129">
        <f>'Project Costs'!L36-'Project Costs'!L4</f>
        <v>0.3</v>
      </c>
      <c r="C5" s="129">
        <f>'Project Costs'!O36-'Project Costs'!O4</f>
        <v>0</v>
      </c>
      <c r="D5" s="129">
        <f t="shared" si="0"/>
        <v>0.3</v>
      </c>
      <c r="E5" s="129">
        <f t="shared" si="1"/>
        <v>0.33765264299999997</v>
      </c>
      <c r="F5" s="129">
        <f t="shared" si="1"/>
        <v>0</v>
      </c>
      <c r="G5" s="130">
        <f t="shared" si="2"/>
        <v>1.1255088099999999</v>
      </c>
      <c r="H5" s="129">
        <f t="shared" si="3"/>
        <v>0.39323880299999997</v>
      </c>
      <c r="I5" s="129">
        <f t="shared" si="4"/>
        <v>0</v>
      </c>
      <c r="J5" s="216">
        <f t="shared" si="5"/>
        <v>1.31079601</v>
      </c>
    </row>
    <row r="6" spans="1:10" x14ac:dyDescent="0.25">
      <c r="A6" s="128">
        <v>2015</v>
      </c>
      <c r="B6" s="129">
        <f>'Project Costs'!L37-'Project Costs'!L5</f>
        <v>0.3</v>
      </c>
      <c r="C6" s="129">
        <f>'Project Costs'!O37-'Project Costs'!O5</f>
        <v>0</v>
      </c>
      <c r="D6" s="129">
        <f t="shared" si="0"/>
        <v>0.3</v>
      </c>
      <c r="E6" s="129">
        <f t="shared" si="1"/>
        <v>0.3278181</v>
      </c>
      <c r="F6" s="129">
        <f t="shared" si="1"/>
        <v>0</v>
      </c>
      <c r="G6" s="130">
        <f t="shared" si="2"/>
        <v>1.092727</v>
      </c>
      <c r="H6" s="129">
        <f t="shared" si="3"/>
        <v>0.36751290000000003</v>
      </c>
      <c r="I6" s="129">
        <f t="shared" si="4"/>
        <v>0</v>
      </c>
      <c r="J6" s="216">
        <f t="shared" si="5"/>
        <v>1.2250430000000001</v>
      </c>
    </row>
    <row r="7" spans="1:10" x14ac:dyDescent="0.25">
      <c r="A7" s="128">
        <v>2016</v>
      </c>
      <c r="B7" s="129">
        <f>'Project Costs'!L38-'Project Costs'!L6</f>
        <v>0.3</v>
      </c>
      <c r="C7" s="129">
        <f>'Project Costs'!O38-'Project Costs'!O6</f>
        <v>0</v>
      </c>
      <c r="D7" s="129">
        <f t="shared" si="0"/>
        <v>0.3</v>
      </c>
      <c r="E7" s="129">
        <f t="shared" si="1"/>
        <v>0.31827</v>
      </c>
      <c r="F7" s="129">
        <f t="shared" si="1"/>
        <v>0</v>
      </c>
      <c r="G7" s="130">
        <f t="shared" si="2"/>
        <v>1.0609</v>
      </c>
      <c r="H7" s="129">
        <f t="shared" si="3"/>
        <v>0.34347</v>
      </c>
      <c r="I7" s="129">
        <f t="shared" si="4"/>
        <v>0</v>
      </c>
      <c r="J7" s="216">
        <f t="shared" si="5"/>
        <v>1.1449</v>
      </c>
    </row>
    <row r="8" spans="1:10" x14ac:dyDescent="0.25">
      <c r="A8" s="128">
        <v>2017</v>
      </c>
      <c r="B8" s="129">
        <f>'Project Costs'!L39-'Project Costs'!L7</f>
        <v>0.3</v>
      </c>
      <c r="C8" s="129">
        <f>'Project Costs'!O39-'Project Costs'!O7</f>
        <v>0</v>
      </c>
      <c r="D8" s="129">
        <f t="shared" si="0"/>
        <v>0.3</v>
      </c>
      <c r="E8" s="129">
        <f t="shared" si="1"/>
        <v>0.309</v>
      </c>
      <c r="F8" s="129">
        <f t="shared" si="1"/>
        <v>0</v>
      </c>
      <c r="G8" s="130">
        <f t="shared" si="2"/>
        <v>1.03</v>
      </c>
      <c r="H8" s="129">
        <f t="shared" si="3"/>
        <v>0.32100000000000001</v>
      </c>
      <c r="I8" s="129">
        <f t="shared" si="4"/>
        <v>0</v>
      </c>
      <c r="J8" s="216">
        <f t="shared" si="5"/>
        <v>1.07</v>
      </c>
    </row>
    <row r="9" spans="1:10" x14ac:dyDescent="0.25">
      <c r="A9" s="213">
        <v>2018</v>
      </c>
      <c r="B9" s="214">
        <f>'Project Costs'!L40-'Project Costs'!L8</f>
        <v>0.3</v>
      </c>
      <c r="C9" s="214">
        <f>'Project Costs'!O40-'Project Costs'!O8</f>
        <v>0</v>
      </c>
      <c r="D9" s="214">
        <f>B9+C9</f>
        <v>0.3</v>
      </c>
      <c r="E9" s="214">
        <f>B9*$G9</f>
        <v>0.3</v>
      </c>
      <c r="F9" s="214">
        <f t="shared" ref="F9:F35" si="6">C9*$G9</f>
        <v>0</v>
      </c>
      <c r="G9" s="215">
        <f>1/((1+0.03)^($A9-$A$9))</f>
        <v>1</v>
      </c>
      <c r="H9" s="214">
        <f>B9*J9</f>
        <v>0.3</v>
      </c>
      <c r="I9" s="214">
        <f>C9*$J9</f>
        <v>0</v>
      </c>
      <c r="J9" s="215">
        <f>1/((1+0.07)^($A9-$A$9))</f>
        <v>1</v>
      </c>
    </row>
    <row r="10" spans="1:10" x14ac:dyDescent="0.25">
      <c r="A10" s="128">
        <v>2019</v>
      </c>
      <c r="B10" s="129">
        <f>'Project Costs'!L41-'Project Costs'!L9</f>
        <v>0.36</v>
      </c>
      <c r="C10" s="129">
        <f>'Project Costs'!O41-'Project Costs'!O9</f>
        <v>0</v>
      </c>
      <c r="D10" s="129">
        <f t="shared" ref="D10:D35" si="7">B10+C10</f>
        <v>0.36</v>
      </c>
      <c r="E10" s="129">
        <f t="shared" ref="E10:E35" si="8">B10*$G10</f>
        <v>0.34951456310679613</v>
      </c>
      <c r="F10" s="129">
        <f t="shared" si="6"/>
        <v>0</v>
      </c>
      <c r="G10" s="130">
        <f t="shared" ref="G10:G35" si="9">1/((1+0.03)^($A10-$A$9))</f>
        <v>0.970873786407767</v>
      </c>
      <c r="H10" s="129">
        <f t="shared" ref="H10:H35" si="10">B10*J10</f>
        <v>0.3364485981308411</v>
      </c>
      <c r="I10" s="129">
        <f t="shared" ref="I10:I35" si="11">C10*$J10</f>
        <v>0</v>
      </c>
      <c r="J10" s="130">
        <f t="shared" ref="J10:J35" si="12">1/((1+0.07)^($A10-$A$9))</f>
        <v>0.93457943925233644</v>
      </c>
    </row>
    <row r="11" spans="1:10" x14ac:dyDescent="0.25">
      <c r="A11" s="128">
        <v>2020</v>
      </c>
      <c r="B11" s="129">
        <f>'Project Costs'!L42-'Project Costs'!L10</f>
        <v>13.48</v>
      </c>
      <c r="C11" s="129">
        <f>'Project Costs'!O42-'Project Costs'!O10</f>
        <v>0</v>
      </c>
      <c r="D11" s="129">
        <f t="shared" si="7"/>
        <v>13.48</v>
      </c>
      <c r="E11" s="129">
        <f t="shared" si="8"/>
        <v>12.706192855123009</v>
      </c>
      <c r="F11" s="129">
        <f t="shared" si="6"/>
        <v>0</v>
      </c>
      <c r="G11" s="130">
        <f t="shared" si="9"/>
        <v>0.94259590913375435</v>
      </c>
      <c r="H11" s="129">
        <f t="shared" si="10"/>
        <v>11.773954057122893</v>
      </c>
      <c r="I11" s="129">
        <f t="shared" si="11"/>
        <v>0</v>
      </c>
      <c r="J11" s="130">
        <f t="shared" si="12"/>
        <v>0.87343872827321156</v>
      </c>
    </row>
    <row r="12" spans="1:10" x14ac:dyDescent="0.25">
      <c r="A12" s="128">
        <v>2021</v>
      </c>
      <c r="B12" s="129">
        <f>'Project Costs'!L43-'Project Costs'!L11</f>
        <v>19.25</v>
      </c>
      <c r="C12" s="129">
        <f>'Project Costs'!O43-'Project Costs'!O11</f>
        <v>0</v>
      </c>
      <c r="D12" s="129">
        <f t="shared" si="7"/>
        <v>19.25</v>
      </c>
      <c r="E12" s="129">
        <f t="shared" si="8"/>
        <v>17.616476942548321</v>
      </c>
      <c r="F12" s="129">
        <f t="shared" si="6"/>
        <v>0</v>
      </c>
      <c r="G12" s="130">
        <f t="shared" si="9"/>
        <v>0.91514165935315961</v>
      </c>
      <c r="H12" s="129">
        <f t="shared" si="10"/>
        <v>15.713734130148898</v>
      </c>
      <c r="I12" s="129">
        <f t="shared" si="11"/>
        <v>0</v>
      </c>
      <c r="J12" s="130">
        <f t="shared" si="12"/>
        <v>0.81629787689085187</v>
      </c>
    </row>
    <row r="13" spans="1:10" x14ac:dyDescent="0.25">
      <c r="A13" s="128">
        <v>2022</v>
      </c>
      <c r="B13" s="129">
        <f>'Project Costs'!L44-'Project Costs'!L12</f>
        <v>9.620000000000001</v>
      </c>
      <c r="C13" s="129">
        <f>'Project Costs'!O44-'Project Costs'!O12</f>
        <v>-0.65</v>
      </c>
      <c r="D13" s="129">
        <f t="shared" si="7"/>
        <v>8.9700000000000006</v>
      </c>
      <c r="E13" s="129">
        <f t="shared" si="8"/>
        <v>8.5472454009489294</v>
      </c>
      <c r="F13" s="129">
        <f t="shared" si="6"/>
        <v>-0.57751658114519788</v>
      </c>
      <c r="G13" s="130">
        <f t="shared" si="9"/>
        <v>0.888487047915689</v>
      </c>
      <c r="H13" s="129">
        <f t="shared" si="10"/>
        <v>7.3390519398971934</v>
      </c>
      <c r="I13" s="129">
        <f t="shared" si="11"/>
        <v>-0.49588188783089138</v>
      </c>
      <c r="J13" s="130">
        <f t="shared" si="12"/>
        <v>0.7628952120475252</v>
      </c>
    </row>
    <row r="14" spans="1:10" x14ac:dyDescent="0.25">
      <c r="A14" s="128">
        <v>2023</v>
      </c>
      <c r="B14" s="129">
        <f>'Project Costs'!L45-'Project Costs'!L13</f>
        <v>4.8100000000000005</v>
      </c>
      <c r="C14" s="129">
        <f>'Project Costs'!O45-'Project Costs'!O13</f>
        <v>0</v>
      </c>
      <c r="D14" s="129">
        <f t="shared" si="7"/>
        <v>4.8100000000000005</v>
      </c>
      <c r="E14" s="129">
        <f t="shared" si="8"/>
        <v>4.1491482528878301</v>
      </c>
      <c r="F14" s="129">
        <f t="shared" si="6"/>
        <v>0</v>
      </c>
      <c r="G14" s="130">
        <f t="shared" si="9"/>
        <v>0.86260878438416411</v>
      </c>
      <c r="H14" s="129">
        <f t="shared" si="10"/>
        <v>3.4294635233164454</v>
      </c>
      <c r="I14" s="129">
        <f t="shared" si="11"/>
        <v>0</v>
      </c>
      <c r="J14" s="130">
        <f t="shared" si="12"/>
        <v>0.71298617948366838</v>
      </c>
    </row>
    <row r="15" spans="1:10" x14ac:dyDescent="0.25">
      <c r="A15" s="128">
        <v>2024</v>
      </c>
      <c r="B15" s="129">
        <f>'Project Costs'!L46-'Project Costs'!L14</f>
        <v>2.41</v>
      </c>
      <c r="C15" s="129">
        <f>'Project Costs'!O46-'Project Costs'!O14</f>
        <v>0</v>
      </c>
      <c r="D15" s="129">
        <f t="shared" si="7"/>
        <v>2.41</v>
      </c>
      <c r="E15" s="129">
        <f t="shared" si="8"/>
        <v>2.0183370586076075</v>
      </c>
      <c r="F15" s="129">
        <f t="shared" si="6"/>
        <v>0</v>
      </c>
      <c r="G15" s="130">
        <f t="shared" si="9"/>
        <v>0.83748425668365445</v>
      </c>
      <c r="H15" s="129">
        <f t="shared" si="10"/>
        <v>1.6058847593977954</v>
      </c>
      <c r="I15" s="129">
        <f t="shared" si="11"/>
        <v>0</v>
      </c>
      <c r="J15" s="130">
        <f t="shared" si="12"/>
        <v>0.66634222381651254</v>
      </c>
    </row>
    <row r="16" spans="1:10" x14ac:dyDescent="0.25">
      <c r="A16" s="128">
        <v>2025</v>
      </c>
      <c r="B16" s="129">
        <f>'Project Costs'!L47-'Project Costs'!L15</f>
        <v>0</v>
      </c>
      <c r="C16" s="129">
        <f>'Project Costs'!O47-'Project Costs'!O15</f>
        <v>-5.9999999999999984E-3</v>
      </c>
      <c r="D16" s="129">
        <f t="shared" si="7"/>
        <v>-5.9999999999999984E-3</v>
      </c>
      <c r="E16" s="129">
        <f t="shared" si="8"/>
        <v>0</v>
      </c>
      <c r="F16" s="129">
        <f t="shared" si="6"/>
        <v>-4.8785490680601212E-3</v>
      </c>
      <c r="G16" s="130">
        <f t="shared" si="9"/>
        <v>0.81309151134335378</v>
      </c>
      <c r="H16" s="129">
        <f t="shared" si="10"/>
        <v>0</v>
      </c>
      <c r="I16" s="129">
        <f t="shared" si="11"/>
        <v>-3.7364984513075456E-3</v>
      </c>
      <c r="J16" s="130">
        <f t="shared" si="12"/>
        <v>0.62274974188459109</v>
      </c>
    </row>
    <row r="17" spans="1:10" x14ac:dyDescent="0.25">
      <c r="A17" s="128">
        <v>2026</v>
      </c>
      <c r="B17" s="129">
        <f>'Project Costs'!L48-'Project Costs'!L16</f>
        <v>0</v>
      </c>
      <c r="C17" s="129">
        <f>'Project Costs'!O48-'Project Costs'!O16</f>
        <v>-5.9999999999999984E-3</v>
      </c>
      <c r="D17" s="129">
        <f t="shared" si="7"/>
        <v>-5.9999999999999984E-3</v>
      </c>
      <c r="E17" s="129">
        <f t="shared" si="8"/>
        <v>0</v>
      </c>
      <c r="F17" s="129">
        <f t="shared" si="6"/>
        <v>-4.7364554058836128E-3</v>
      </c>
      <c r="G17" s="130">
        <f t="shared" si="9"/>
        <v>0.78940923431393573</v>
      </c>
      <c r="H17" s="129">
        <f t="shared" si="10"/>
        <v>0</v>
      </c>
      <c r="I17" s="129">
        <f t="shared" si="11"/>
        <v>-3.4920546273902297E-3</v>
      </c>
      <c r="J17" s="130">
        <f t="shared" si="12"/>
        <v>0.5820091045650384</v>
      </c>
    </row>
    <row r="18" spans="1:10" x14ac:dyDescent="0.25">
      <c r="A18" s="128">
        <v>2027</v>
      </c>
      <c r="B18" s="129">
        <f>'Project Costs'!L49-'Project Costs'!L17</f>
        <v>0</v>
      </c>
      <c r="C18" s="129">
        <f>'Project Costs'!O49-'Project Costs'!O17</f>
        <v>-0.78100000000000003</v>
      </c>
      <c r="D18" s="129">
        <f t="shared" si="7"/>
        <v>-0.78100000000000003</v>
      </c>
      <c r="E18" s="129">
        <f t="shared" si="8"/>
        <v>0</v>
      </c>
      <c r="F18" s="129">
        <f t="shared" si="6"/>
        <v>-0.59857146796037264</v>
      </c>
      <c r="G18" s="130">
        <f t="shared" si="9"/>
        <v>0.76641673234362695</v>
      </c>
      <c r="H18" s="129">
        <f t="shared" si="10"/>
        <v>0</v>
      </c>
      <c r="I18" s="129">
        <f t="shared" si="11"/>
        <v>-0.42481225295821967</v>
      </c>
      <c r="J18" s="130">
        <f t="shared" si="12"/>
        <v>0.54393374258414806</v>
      </c>
    </row>
    <row r="19" spans="1:10" x14ac:dyDescent="0.25">
      <c r="A19" s="128">
        <v>2028</v>
      </c>
      <c r="B19" s="129">
        <f>'Project Costs'!L50-'Project Costs'!L18</f>
        <v>0</v>
      </c>
      <c r="C19" s="129">
        <f>'Project Costs'!O50-'Project Costs'!O18</f>
        <v>-5.9999999999999984E-3</v>
      </c>
      <c r="D19" s="129">
        <f t="shared" si="7"/>
        <v>-5.9999999999999984E-3</v>
      </c>
      <c r="E19" s="129">
        <f t="shared" si="8"/>
        <v>0</v>
      </c>
      <c r="F19" s="129">
        <f t="shared" si="6"/>
        <v>-4.46456348938035E-3</v>
      </c>
      <c r="G19" s="130">
        <f t="shared" si="9"/>
        <v>0.74409391489672516</v>
      </c>
      <c r="H19" s="129">
        <f t="shared" si="10"/>
        <v>0</v>
      </c>
      <c r="I19" s="129">
        <f t="shared" si="11"/>
        <v>-3.0500957528083058E-3</v>
      </c>
      <c r="J19" s="130">
        <f t="shared" si="12"/>
        <v>0.5083492921347178</v>
      </c>
    </row>
    <row r="20" spans="1:10" x14ac:dyDescent="0.25">
      <c r="A20" s="128">
        <v>2029</v>
      </c>
      <c r="B20" s="129">
        <f>'Project Costs'!L51-'Project Costs'!L19</f>
        <v>0</v>
      </c>
      <c r="C20" s="129">
        <f>'Project Costs'!O51-'Project Costs'!O19</f>
        <v>-5.9999999999999984E-3</v>
      </c>
      <c r="D20" s="129">
        <f t="shared" si="7"/>
        <v>-5.9999999999999984E-3</v>
      </c>
      <c r="E20" s="129">
        <f t="shared" si="8"/>
        <v>0</v>
      </c>
      <c r="F20" s="129">
        <f t="shared" si="6"/>
        <v>-4.3345276595925727E-3</v>
      </c>
      <c r="G20" s="130">
        <f t="shared" si="9"/>
        <v>0.72242127659876232</v>
      </c>
      <c r="H20" s="129">
        <f t="shared" si="10"/>
        <v>0</v>
      </c>
      <c r="I20" s="129">
        <f t="shared" si="11"/>
        <v>-2.8505567783255192E-3</v>
      </c>
      <c r="J20" s="130">
        <f t="shared" si="12"/>
        <v>0.47509279638758667</v>
      </c>
    </row>
    <row r="21" spans="1:10" x14ac:dyDescent="0.25">
      <c r="A21" s="128">
        <v>2030</v>
      </c>
      <c r="B21" s="129">
        <f>'Project Costs'!L52-'Project Costs'!L20</f>
        <v>0</v>
      </c>
      <c r="C21" s="129">
        <f>'Project Costs'!O52-'Project Costs'!O20</f>
        <v>-5.9999999999999984E-3</v>
      </c>
      <c r="D21" s="129">
        <f t="shared" si="7"/>
        <v>-5.9999999999999984E-3</v>
      </c>
      <c r="E21" s="129">
        <f t="shared" si="8"/>
        <v>0</v>
      </c>
      <c r="F21" s="129">
        <f t="shared" si="6"/>
        <v>-4.208279281157838E-3</v>
      </c>
      <c r="G21" s="130">
        <f t="shared" si="9"/>
        <v>0.70137988019297326</v>
      </c>
      <c r="H21" s="129">
        <f t="shared" si="10"/>
        <v>0</v>
      </c>
      <c r="I21" s="129">
        <f t="shared" si="11"/>
        <v>-2.6640717554444111E-3</v>
      </c>
      <c r="J21" s="130">
        <f t="shared" si="12"/>
        <v>0.44401195924073528</v>
      </c>
    </row>
    <row r="22" spans="1:10" x14ac:dyDescent="0.25">
      <c r="A22" s="128">
        <v>2031</v>
      </c>
      <c r="B22" s="129">
        <f>'Project Costs'!L53-'Project Costs'!L21</f>
        <v>0</v>
      </c>
      <c r="C22" s="129">
        <f>'Project Costs'!O53-'Project Costs'!O21</f>
        <v>-5.9999999999999984E-3</v>
      </c>
      <c r="D22" s="129">
        <f t="shared" si="7"/>
        <v>-5.9999999999999984E-3</v>
      </c>
      <c r="E22" s="129">
        <f t="shared" si="8"/>
        <v>0</v>
      </c>
      <c r="F22" s="129">
        <f t="shared" si="6"/>
        <v>-4.0857080399590668E-3</v>
      </c>
      <c r="G22" s="130">
        <f t="shared" si="9"/>
        <v>0.68095133999317792</v>
      </c>
      <c r="H22" s="129">
        <f t="shared" si="10"/>
        <v>0</v>
      </c>
      <c r="I22" s="129">
        <f t="shared" si="11"/>
        <v>-2.4897866873312248E-3</v>
      </c>
      <c r="J22" s="130">
        <f t="shared" si="12"/>
        <v>0.41496444788853759</v>
      </c>
    </row>
    <row r="23" spans="1:10" x14ac:dyDescent="0.25">
      <c r="A23" s="128">
        <v>2032</v>
      </c>
      <c r="B23" s="129">
        <f>'Project Costs'!L54-'Project Costs'!L22</f>
        <v>0</v>
      </c>
      <c r="C23" s="129">
        <f>'Project Costs'!O54-'Project Costs'!O22</f>
        <v>-0.65600000000000003</v>
      </c>
      <c r="D23" s="129">
        <f t="shared" si="7"/>
        <v>-0.65600000000000003</v>
      </c>
      <c r="E23" s="129">
        <f t="shared" si="8"/>
        <v>0</v>
      </c>
      <c r="F23" s="129">
        <f t="shared" si="6"/>
        <v>-0.43369328061701423</v>
      </c>
      <c r="G23" s="130">
        <f t="shared" si="9"/>
        <v>0.66111780581861923</v>
      </c>
      <c r="H23" s="129">
        <f t="shared" si="10"/>
        <v>0</v>
      </c>
      <c r="I23" s="129">
        <f t="shared" si="11"/>
        <v>-0.25440811010736514</v>
      </c>
      <c r="J23" s="130">
        <f t="shared" si="12"/>
        <v>0.3878172410173249</v>
      </c>
    </row>
    <row r="24" spans="1:10" x14ac:dyDescent="0.25">
      <c r="A24" s="128">
        <v>2033</v>
      </c>
      <c r="B24" s="129">
        <f>'Project Costs'!L55-'Project Costs'!L23</f>
        <v>0</v>
      </c>
      <c r="C24" s="129">
        <f>'Project Costs'!O55-'Project Costs'!O23</f>
        <v>-5.9999999999999984E-3</v>
      </c>
      <c r="D24" s="129">
        <f t="shared" si="7"/>
        <v>-5.9999999999999984E-3</v>
      </c>
      <c r="E24" s="129">
        <f t="shared" si="8"/>
        <v>0</v>
      </c>
      <c r="F24" s="129">
        <f t="shared" si="6"/>
        <v>-3.8511716843803051E-3</v>
      </c>
      <c r="G24" s="130">
        <f t="shared" si="9"/>
        <v>0.64186194739671765</v>
      </c>
      <c r="H24" s="129">
        <f t="shared" si="10"/>
        <v>0</v>
      </c>
      <c r="I24" s="129">
        <f t="shared" si="11"/>
        <v>-2.1746761178541574E-3</v>
      </c>
      <c r="J24" s="130">
        <f t="shared" si="12"/>
        <v>0.36244601964235967</v>
      </c>
    </row>
    <row r="25" spans="1:10" x14ac:dyDescent="0.25">
      <c r="A25" s="128">
        <v>2034</v>
      </c>
      <c r="B25" s="129">
        <f>'Project Costs'!L56-'Project Costs'!L24</f>
        <v>0</v>
      </c>
      <c r="C25" s="129">
        <f>'Project Costs'!O56-'Project Costs'!O24</f>
        <v>-5.9999999999999984E-3</v>
      </c>
      <c r="D25" s="129">
        <f t="shared" si="7"/>
        <v>-5.9999999999999984E-3</v>
      </c>
      <c r="E25" s="129">
        <f t="shared" si="8"/>
        <v>0</v>
      </c>
      <c r="F25" s="129">
        <f t="shared" si="6"/>
        <v>-3.739001635320685E-3</v>
      </c>
      <c r="G25" s="130">
        <f t="shared" si="9"/>
        <v>0.62316693922011435</v>
      </c>
      <c r="H25" s="129">
        <f t="shared" si="10"/>
        <v>0</v>
      </c>
      <c r="I25" s="129">
        <f t="shared" si="11"/>
        <v>-2.0324075867795867E-3</v>
      </c>
      <c r="J25" s="130">
        <f t="shared" si="12"/>
        <v>0.33873459779659787</v>
      </c>
    </row>
    <row r="26" spans="1:10" x14ac:dyDescent="0.25">
      <c r="A26" s="128">
        <v>2035</v>
      </c>
      <c r="B26" s="129">
        <f>'Project Costs'!L57-'Project Costs'!L25</f>
        <v>0</v>
      </c>
      <c r="C26" s="129">
        <f>'Project Costs'!O57-'Project Costs'!O25</f>
        <v>0.76900000000000002</v>
      </c>
      <c r="D26" s="129">
        <f t="shared" si="7"/>
        <v>0.76900000000000002</v>
      </c>
      <c r="E26" s="129">
        <f t="shared" si="8"/>
        <v>0</v>
      </c>
      <c r="F26" s="129">
        <f t="shared" si="6"/>
        <v>0.46525764685462906</v>
      </c>
      <c r="G26" s="130">
        <f t="shared" si="9"/>
        <v>0.60501644584477121</v>
      </c>
      <c r="H26" s="129">
        <f t="shared" si="10"/>
        <v>0</v>
      </c>
      <c r="I26" s="129">
        <f t="shared" si="11"/>
        <v>0.24344570626690074</v>
      </c>
      <c r="J26" s="130">
        <f t="shared" si="12"/>
        <v>0.31657439046411018</v>
      </c>
    </row>
    <row r="27" spans="1:10" x14ac:dyDescent="0.25">
      <c r="A27" s="128">
        <v>2036</v>
      </c>
      <c r="B27" s="129">
        <f>'Project Costs'!L58-'Project Costs'!L26</f>
        <v>0</v>
      </c>
      <c r="C27" s="129">
        <f>'Project Costs'!O58-'Project Costs'!O26</f>
        <v>0.64400000000000002</v>
      </c>
      <c r="D27" s="129">
        <f t="shared" si="7"/>
        <v>0.64400000000000002</v>
      </c>
      <c r="E27" s="129">
        <f t="shared" si="8"/>
        <v>0</v>
      </c>
      <c r="F27" s="129">
        <f t="shared" si="6"/>
        <v>0.37828212730488608</v>
      </c>
      <c r="G27" s="130">
        <f t="shared" si="9"/>
        <v>0.5873946076162827</v>
      </c>
      <c r="H27" s="129">
        <f t="shared" si="10"/>
        <v>0</v>
      </c>
      <c r="I27" s="129">
        <f t="shared" si="11"/>
        <v>0.19053636211110928</v>
      </c>
      <c r="J27" s="130">
        <f t="shared" si="12"/>
        <v>0.29586391632159825</v>
      </c>
    </row>
    <row r="28" spans="1:10" x14ac:dyDescent="0.25">
      <c r="A28" s="128">
        <v>2037</v>
      </c>
      <c r="B28" s="129">
        <f>'Project Costs'!L59-'Project Costs'!L27</f>
        <v>0</v>
      </c>
      <c r="C28" s="129">
        <f>'Project Costs'!O59-'Project Costs'!O27</f>
        <v>-0.78100000000000003</v>
      </c>
      <c r="D28" s="129">
        <f t="shared" si="7"/>
        <v>-0.78100000000000003</v>
      </c>
      <c r="E28" s="129">
        <f t="shared" si="8"/>
        <v>0</v>
      </c>
      <c r="F28" s="129">
        <f t="shared" si="6"/>
        <v>-0.44539338694011343</v>
      </c>
      <c r="G28" s="130">
        <f t="shared" si="9"/>
        <v>0.57028602681192497</v>
      </c>
      <c r="H28" s="129">
        <f t="shared" si="10"/>
        <v>0</v>
      </c>
      <c r="I28" s="129">
        <f t="shared" si="11"/>
        <v>-0.21595300808146564</v>
      </c>
      <c r="J28" s="130">
        <f t="shared" si="12"/>
        <v>0.27650833301083949</v>
      </c>
    </row>
    <row r="29" spans="1:10" x14ac:dyDescent="0.25">
      <c r="A29" s="128">
        <v>2038</v>
      </c>
      <c r="B29" s="129">
        <f>'Project Costs'!L60-'Project Costs'!L28</f>
        <v>0</v>
      </c>
      <c r="C29" s="129">
        <f>'Project Costs'!O60-'Project Costs'!O28</f>
        <v>-5.9999999999999984E-3</v>
      </c>
      <c r="D29" s="129">
        <f t="shared" si="7"/>
        <v>-5.9999999999999984E-3</v>
      </c>
      <c r="E29" s="129">
        <f t="shared" si="8"/>
        <v>0</v>
      </c>
      <c r="F29" s="129">
        <f t="shared" si="6"/>
        <v>-3.322054525118009E-3</v>
      </c>
      <c r="G29" s="130">
        <f t="shared" si="9"/>
        <v>0.55367575418633497</v>
      </c>
      <c r="H29" s="129">
        <f t="shared" si="10"/>
        <v>0</v>
      </c>
      <c r="I29" s="129">
        <f t="shared" si="11"/>
        <v>-1.5505140168832119E-3</v>
      </c>
      <c r="J29" s="130">
        <f t="shared" si="12"/>
        <v>0.2584190028138687</v>
      </c>
    </row>
    <row r="30" spans="1:10" x14ac:dyDescent="0.25">
      <c r="A30" s="128">
        <v>2039</v>
      </c>
      <c r="B30" s="129">
        <f>'Project Costs'!L61-'Project Costs'!L29</f>
        <v>0</v>
      </c>
      <c r="C30" s="129">
        <f>'Project Costs'!O61-'Project Costs'!O29</f>
        <v>-5.9999999999999984E-3</v>
      </c>
      <c r="D30" s="129">
        <f t="shared" si="7"/>
        <v>-5.9999999999999984E-3</v>
      </c>
      <c r="E30" s="129">
        <f t="shared" si="8"/>
        <v>0</v>
      </c>
      <c r="F30" s="129">
        <f t="shared" si="6"/>
        <v>-3.2252956554543778E-3</v>
      </c>
      <c r="G30" s="130">
        <f t="shared" si="9"/>
        <v>0.5375492759090631</v>
      </c>
      <c r="H30" s="129">
        <f t="shared" si="10"/>
        <v>0</v>
      </c>
      <c r="I30" s="129">
        <f t="shared" si="11"/>
        <v>-1.4490785204515997E-3</v>
      </c>
      <c r="J30" s="130">
        <f t="shared" si="12"/>
        <v>0.24151308674193336</v>
      </c>
    </row>
    <row r="31" spans="1:10" x14ac:dyDescent="0.25">
      <c r="A31" s="128">
        <v>2040</v>
      </c>
      <c r="B31" s="129">
        <f>'Project Costs'!L62-'Project Costs'!L30</f>
        <v>0</v>
      </c>
      <c r="C31" s="129">
        <f>'Project Costs'!O62-'Project Costs'!O30</f>
        <v>-5.9999999999999984E-3</v>
      </c>
      <c r="D31" s="129">
        <f t="shared" si="7"/>
        <v>-5.9999999999999984E-3</v>
      </c>
      <c r="E31" s="129">
        <f t="shared" si="8"/>
        <v>0</v>
      </c>
      <c r="F31" s="129">
        <f t="shared" si="6"/>
        <v>-3.1313550052955125E-3</v>
      </c>
      <c r="G31" s="130">
        <f t="shared" si="9"/>
        <v>0.52189250088258554</v>
      </c>
      <c r="H31" s="129">
        <f t="shared" si="10"/>
        <v>0</v>
      </c>
      <c r="I31" s="129">
        <f t="shared" si="11"/>
        <v>-1.3542789910762614E-3</v>
      </c>
      <c r="J31" s="130">
        <f t="shared" si="12"/>
        <v>0.22571316517937698</v>
      </c>
    </row>
    <row r="32" spans="1:10" x14ac:dyDescent="0.25">
      <c r="A32" s="128">
        <v>2041</v>
      </c>
      <c r="B32" s="129">
        <f>'Project Costs'!L63-'Project Costs'!L31</f>
        <v>0</v>
      </c>
      <c r="C32" s="129">
        <f>'Project Costs'!O63-'Project Costs'!O31</f>
        <v>-5.9999999999999984E-3</v>
      </c>
      <c r="D32" s="129">
        <f t="shared" si="7"/>
        <v>-5.9999999999999984E-3</v>
      </c>
      <c r="E32" s="129">
        <f t="shared" si="8"/>
        <v>0</v>
      </c>
      <c r="F32" s="129">
        <f t="shared" si="6"/>
        <v>-3.0401504905781672E-3</v>
      </c>
      <c r="G32" s="130">
        <f t="shared" si="9"/>
        <v>0.50669174842969467</v>
      </c>
      <c r="H32" s="129">
        <f t="shared" si="10"/>
        <v>0</v>
      </c>
      <c r="I32" s="129">
        <f t="shared" si="11"/>
        <v>-1.2656813000712724E-3</v>
      </c>
      <c r="J32" s="130">
        <f t="shared" si="12"/>
        <v>0.21094688334521211</v>
      </c>
    </row>
    <row r="33" spans="1:10" x14ac:dyDescent="0.25">
      <c r="A33" s="128">
        <v>2042</v>
      </c>
      <c r="B33" s="129">
        <f>'Project Costs'!L64-'Project Costs'!L32</f>
        <v>0</v>
      </c>
      <c r="C33" s="129">
        <f>'Project Costs'!O64-'Project Costs'!O32</f>
        <v>-0.65600000000000003</v>
      </c>
      <c r="D33" s="129">
        <f t="shared" si="7"/>
        <v>-0.65600000000000003</v>
      </c>
      <c r="E33" s="129">
        <f t="shared" si="8"/>
        <v>0</v>
      </c>
      <c r="F33" s="129">
        <f t="shared" si="6"/>
        <v>-0.32270853103871822</v>
      </c>
      <c r="G33" s="130">
        <f t="shared" si="9"/>
        <v>0.49193373633950943</v>
      </c>
      <c r="H33" s="129">
        <f t="shared" si="10"/>
        <v>0</v>
      </c>
      <c r="I33" s="129">
        <f t="shared" si="11"/>
        <v>-0.12932818268641041</v>
      </c>
      <c r="J33" s="130">
        <f t="shared" si="12"/>
        <v>0.19714661994879637</v>
      </c>
    </row>
    <row r="34" spans="1:10" x14ac:dyDescent="0.25">
      <c r="A34" s="128">
        <v>2043</v>
      </c>
      <c r="B34" s="129">
        <f>'Project Costs'!L65-'Project Costs'!L33</f>
        <v>0</v>
      </c>
      <c r="C34" s="129">
        <f>'Project Costs'!O65-'Project Costs'!O33</f>
        <v>-5.9999999999999984E-3</v>
      </c>
      <c r="D34" s="129">
        <f t="shared" si="7"/>
        <v>-5.9999999999999984E-3</v>
      </c>
      <c r="E34" s="129">
        <f t="shared" si="8"/>
        <v>0</v>
      </c>
      <c r="F34" s="129">
        <f t="shared" si="6"/>
        <v>-2.8656334155699572E-3</v>
      </c>
      <c r="G34" s="130">
        <f t="shared" si="9"/>
        <v>0.47760556926165965</v>
      </c>
      <c r="H34" s="129">
        <f t="shared" si="10"/>
        <v>0</v>
      </c>
      <c r="I34" s="129">
        <f t="shared" si="11"/>
        <v>-1.1054950651334372E-3</v>
      </c>
      <c r="J34" s="130">
        <f t="shared" si="12"/>
        <v>0.18424917752223957</v>
      </c>
    </row>
    <row r="35" spans="1:10" x14ac:dyDescent="0.25">
      <c r="A35" s="128">
        <v>2044</v>
      </c>
      <c r="B35" s="129">
        <f>'Project Costs'!L66-'Project Costs'!L34</f>
        <v>0</v>
      </c>
      <c r="C35" s="129">
        <f>'Project Costs'!O66-'Project Costs'!O34</f>
        <v>-5.9999999999999984E-3</v>
      </c>
      <c r="D35" s="129">
        <f t="shared" si="7"/>
        <v>-5.9999999999999984E-3</v>
      </c>
      <c r="E35" s="129">
        <f t="shared" si="8"/>
        <v>0</v>
      </c>
      <c r="F35" s="129">
        <f t="shared" si="6"/>
        <v>-2.7821683646310261E-3</v>
      </c>
      <c r="G35" s="130">
        <f t="shared" si="9"/>
        <v>0.46369472743850448</v>
      </c>
      <c r="H35" s="129">
        <f t="shared" si="10"/>
        <v>0</v>
      </c>
      <c r="I35" s="129">
        <f t="shared" si="11"/>
        <v>-1.0331729580686331E-3</v>
      </c>
      <c r="J35" s="130">
        <f t="shared" si="12"/>
        <v>0.17219549301143888</v>
      </c>
    </row>
    <row r="36" spans="1:10" x14ac:dyDescent="0.25">
      <c r="A36" s="131" t="s">
        <v>6</v>
      </c>
      <c r="B36" s="132">
        <f>SUM(B4:B35)</f>
        <v>51.730000000000004</v>
      </c>
      <c r="C36" s="132">
        <f>SUM(C4:C35)</f>
        <v>-2.1949999999999994</v>
      </c>
      <c r="D36" s="132">
        <f t="shared" ref="D36:I36" si="13">SUM(D4:D35)</f>
        <v>49.534999999999997</v>
      </c>
      <c r="E36" s="132">
        <f t="shared" si="13"/>
        <v>47.32743803851249</v>
      </c>
      <c r="F36" s="132">
        <f t="shared" si="13"/>
        <v>-1.5870083872622829</v>
      </c>
      <c r="G36" s="131"/>
      <c r="H36" s="132">
        <f t="shared" si="13"/>
        <v>42.344524230224067</v>
      </c>
      <c r="I36" s="132">
        <f t="shared" si="13"/>
        <v>-1.1166497418952679</v>
      </c>
      <c r="J36" s="131"/>
    </row>
  </sheetData>
  <mergeCells count="2">
    <mergeCell ref="H2:J2"/>
    <mergeCell ref="E2:G2"/>
  </mergeCells>
  <conditionalFormatting sqref="B4:J36">
    <cfRule type="cellIs" dxfId="5" priority="2" operator="lessThan">
      <formula>0</formula>
    </cfRule>
  </conditionalFormatting>
  <pageMargins left="0.7" right="0.7" top="0.75" bottom="0.75" header="0.3" footer="0.3"/>
  <pageSetup scale="9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pageSetUpPr fitToPage="1"/>
  </sheetPr>
  <dimension ref="A1:R74"/>
  <sheetViews>
    <sheetView defaultGridColor="0" topLeftCell="F1" colorId="22" zoomScaleNormal="100" workbookViewId="0">
      <selection activeCell="G7" sqref="G7"/>
    </sheetView>
  </sheetViews>
  <sheetFormatPr defaultColWidth="12.85546875" defaultRowHeight="16.5" customHeight="1" x14ac:dyDescent="0.25"/>
  <cols>
    <col min="1" max="1" width="13.140625" style="28" customWidth="1"/>
    <col min="2" max="2" width="15.140625" style="2" customWidth="1"/>
    <col min="3" max="3" width="15.7109375" style="2" customWidth="1"/>
    <col min="4" max="4" width="16.28515625" style="3" customWidth="1"/>
    <col min="5" max="5" width="19.85546875" style="4" customWidth="1"/>
    <col min="6" max="6" width="18.5703125" style="4" customWidth="1"/>
    <col min="7" max="7" width="19.140625" style="4" customWidth="1"/>
    <col min="8" max="8" width="14" style="4" bestFit="1" customWidth="1"/>
    <col min="9" max="9" width="15" style="4" customWidth="1"/>
    <col min="10" max="10" width="18" style="4" bestFit="1" customWidth="1"/>
    <col min="11" max="11" width="17.5703125" style="4" customWidth="1"/>
    <col min="12" max="15" width="12.5703125" style="4" bestFit="1" customWidth="1"/>
    <col min="16" max="16" width="12.85546875" style="5" customWidth="1"/>
    <col min="17" max="16384" width="12.85546875" style="5"/>
  </cols>
  <sheetData>
    <row r="1" spans="1:15" ht="16.5" customHeight="1" x14ac:dyDescent="0.25">
      <c r="A1" s="1" t="s">
        <v>80</v>
      </c>
    </row>
    <row r="2" spans="1:15" s="111" customFormat="1" ht="70.5" customHeight="1" x14ac:dyDescent="0.25">
      <c r="A2" s="6" t="s">
        <v>9</v>
      </c>
      <c r="B2" s="6" t="s">
        <v>5</v>
      </c>
      <c r="C2" s="6" t="s">
        <v>10</v>
      </c>
      <c r="D2" s="7" t="s">
        <v>32</v>
      </c>
      <c r="E2" s="7" t="s">
        <v>31</v>
      </c>
      <c r="F2" s="7" t="s">
        <v>30</v>
      </c>
      <c r="G2" s="7" t="s">
        <v>29</v>
      </c>
      <c r="H2" s="7" t="s">
        <v>28</v>
      </c>
      <c r="I2" s="133" t="s">
        <v>27</v>
      </c>
    </row>
    <row r="3" spans="1:15" s="12" customFormat="1" ht="15" customHeight="1" x14ac:dyDescent="0.25">
      <c r="A3" s="9" t="s">
        <v>11</v>
      </c>
      <c r="B3" s="9" t="s">
        <v>12</v>
      </c>
      <c r="C3" s="9" t="s">
        <v>13</v>
      </c>
      <c r="D3" s="149">
        <v>0.29056666666666664</v>
      </c>
      <c r="E3" s="149">
        <v>0.29056666666666664</v>
      </c>
      <c r="F3" s="150">
        <v>10.1698</v>
      </c>
      <c r="G3" s="10">
        <v>9600000</v>
      </c>
      <c r="H3" s="10">
        <v>174000</v>
      </c>
      <c r="I3" s="134">
        <v>4327</v>
      </c>
      <c r="J3" s="11"/>
    </row>
    <row r="4" spans="1:15" s="12" customFormat="1" ht="15" customHeight="1" x14ac:dyDescent="0.25">
      <c r="A4" s="9" t="s">
        <v>11</v>
      </c>
      <c r="B4" s="9" t="s">
        <v>12</v>
      </c>
      <c r="C4" s="9" t="s">
        <v>14</v>
      </c>
      <c r="D4" s="149">
        <v>0.29056666666666664</v>
      </c>
      <c r="E4" s="149">
        <v>0.29056666666666664</v>
      </c>
      <c r="F4" s="150">
        <v>10.1698</v>
      </c>
      <c r="G4" s="10">
        <v>9600000</v>
      </c>
      <c r="H4" s="10">
        <v>174000</v>
      </c>
      <c r="I4" s="134">
        <v>4327</v>
      </c>
      <c r="J4" s="11"/>
    </row>
    <row r="5" spans="1:15" s="12" customFormat="1" ht="15" customHeight="1" x14ac:dyDescent="0.25">
      <c r="A5" s="9" t="s">
        <v>11</v>
      </c>
      <c r="B5" s="9" t="s">
        <v>15</v>
      </c>
      <c r="C5" s="9" t="s">
        <v>16</v>
      </c>
      <c r="D5" s="149">
        <v>0.56299999999999994</v>
      </c>
      <c r="E5" s="149">
        <v>0.56299999999999994</v>
      </c>
      <c r="F5" s="150">
        <v>22.507000000000001</v>
      </c>
      <c r="G5" s="10">
        <v>9600000</v>
      </c>
      <c r="H5" s="10">
        <v>174000</v>
      </c>
      <c r="I5" s="134">
        <v>4327</v>
      </c>
      <c r="J5" s="11"/>
    </row>
    <row r="6" spans="1:15" ht="16.5" customHeight="1" x14ac:dyDescent="0.25">
      <c r="A6" s="13"/>
      <c r="B6" s="13"/>
      <c r="C6" s="13"/>
    </row>
    <row r="7" spans="1:15" ht="60" x14ac:dyDescent="0.25">
      <c r="A7" s="6" t="s">
        <v>9</v>
      </c>
      <c r="B7" s="6" t="s">
        <v>5</v>
      </c>
      <c r="C7" s="6" t="s">
        <v>10</v>
      </c>
      <c r="D7" s="7" t="s">
        <v>34</v>
      </c>
      <c r="E7" s="7" t="s">
        <v>35</v>
      </c>
      <c r="F7" s="7" t="s">
        <v>36</v>
      </c>
      <c r="H7" s="7" t="s">
        <v>75</v>
      </c>
      <c r="I7" s="7" t="s">
        <v>33</v>
      </c>
    </row>
    <row r="8" spans="1:15" s="12" customFormat="1" ht="16.5" customHeight="1" x14ac:dyDescent="0.25">
      <c r="A8" s="14" t="s">
        <v>11</v>
      </c>
      <c r="B8" s="14" t="s">
        <v>12</v>
      </c>
      <c r="C8" s="14" t="s">
        <v>13</v>
      </c>
      <c r="D8" s="15">
        <v>4.6296296000000001E-2</v>
      </c>
      <c r="E8" s="15">
        <v>5.3240741000000001E-2</v>
      </c>
      <c r="F8" s="337">
        <v>1.8634259259999999</v>
      </c>
      <c r="G8" s="16"/>
      <c r="H8" s="17" t="s">
        <v>18</v>
      </c>
      <c r="I8" s="387">
        <v>3.0230000000000001</v>
      </c>
      <c r="J8" s="157" t="s">
        <v>368</v>
      </c>
      <c r="K8" s="18"/>
      <c r="L8" s="385" t="s">
        <v>369</v>
      </c>
      <c r="M8" s="151"/>
      <c r="N8" s="18"/>
      <c r="O8" s="18"/>
    </row>
    <row r="9" spans="1:15" s="12" customFormat="1" ht="16.5" customHeight="1" x14ac:dyDescent="0.25">
      <c r="A9" s="14" t="s">
        <v>11</v>
      </c>
      <c r="B9" s="14" t="s">
        <v>12</v>
      </c>
      <c r="C9" s="14" t="s">
        <v>14</v>
      </c>
      <c r="D9" s="15">
        <v>4.6296296000000001E-2</v>
      </c>
      <c r="E9" s="15">
        <v>5.3240741000000001E-2</v>
      </c>
      <c r="F9" s="337">
        <v>1.8634259259999999</v>
      </c>
      <c r="G9" s="16"/>
      <c r="H9" s="17" t="s">
        <v>17</v>
      </c>
      <c r="I9" s="387">
        <v>2.8260000000000001</v>
      </c>
      <c r="J9" s="157" t="s">
        <v>368</v>
      </c>
      <c r="K9" s="18"/>
      <c r="L9" s="386" t="s">
        <v>369</v>
      </c>
      <c r="M9" s="152"/>
      <c r="N9" s="18"/>
      <c r="O9" s="18"/>
    </row>
    <row r="10" spans="1:15" s="12" customFormat="1" ht="16.5" customHeight="1" x14ac:dyDescent="0.25">
      <c r="A10" s="14" t="s">
        <v>11</v>
      </c>
      <c r="B10" s="14" t="s">
        <v>15</v>
      </c>
      <c r="C10" s="14" t="s">
        <v>16</v>
      </c>
      <c r="D10" s="15">
        <v>0.15625</v>
      </c>
      <c r="E10" s="15">
        <v>0.21875</v>
      </c>
      <c r="F10" s="337">
        <v>9.84375</v>
      </c>
      <c r="G10" s="16"/>
      <c r="K10" s="18"/>
      <c r="L10" s="18"/>
      <c r="M10" s="18"/>
      <c r="N10" s="18"/>
      <c r="O10" s="18"/>
    </row>
    <row r="11" spans="1:15" ht="16.5" customHeight="1" x14ac:dyDescent="0.25">
      <c r="A11" s="19"/>
      <c r="B11" s="20"/>
      <c r="C11" s="21"/>
      <c r="D11" s="21"/>
    </row>
    <row r="12" spans="1:15" ht="45" x14ac:dyDescent="0.25">
      <c r="A12" s="6" t="s">
        <v>5</v>
      </c>
      <c r="B12" s="6" t="s">
        <v>10</v>
      </c>
      <c r="C12" s="7" t="s">
        <v>37</v>
      </c>
      <c r="D12" s="7" t="s">
        <v>113</v>
      </c>
      <c r="G12" s="6" t="s">
        <v>5</v>
      </c>
      <c r="H12" s="6" t="s">
        <v>10</v>
      </c>
      <c r="I12" s="7" t="s">
        <v>19</v>
      </c>
      <c r="J12" s="7" t="s">
        <v>109</v>
      </c>
      <c r="K12" s="7" t="s">
        <v>110</v>
      </c>
    </row>
    <row r="13" spans="1:15" ht="16.5" customHeight="1" x14ac:dyDescent="0.25">
      <c r="A13" s="14" t="s">
        <v>12</v>
      </c>
      <c r="B13" s="14" t="s">
        <v>13</v>
      </c>
      <c r="C13" s="22">
        <v>26.5</v>
      </c>
      <c r="D13" s="135">
        <f>C13</f>
        <v>26.5</v>
      </c>
      <c r="E13" s="136" t="s">
        <v>114</v>
      </c>
      <c r="F13" s="53"/>
      <c r="G13" s="23" t="s">
        <v>12</v>
      </c>
      <c r="H13" s="23" t="s">
        <v>13</v>
      </c>
      <c r="I13" s="24">
        <v>1.39</v>
      </c>
      <c r="J13" s="37"/>
      <c r="K13" s="37"/>
    </row>
    <row r="14" spans="1:15" ht="16.5" customHeight="1" x14ac:dyDescent="0.25">
      <c r="A14" s="14" t="s">
        <v>12</v>
      </c>
      <c r="B14" s="14" t="s">
        <v>14</v>
      </c>
      <c r="C14" s="22">
        <v>14.2</v>
      </c>
      <c r="D14" s="135">
        <f>C14</f>
        <v>14.2</v>
      </c>
      <c r="E14" s="136" t="s">
        <v>114</v>
      </c>
      <c r="G14" s="23" t="s">
        <v>12</v>
      </c>
      <c r="H14" s="23" t="s">
        <v>14</v>
      </c>
      <c r="I14" s="24">
        <v>1.39</v>
      </c>
      <c r="J14" s="37"/>
      <c r="K14" s="37"/>
    </row>
    <row r="15" spans="1:15" ht="16.5" customHeight="1" x14ac:dyDescent="0.25">
      <c r="A15" s="14" t="s">
        <v>15</v>
      </c>
      <c r="B15" s="14" t="s">
        <v>16</v>
      </c>
      <c r="C15" s="25">
        <v>28.6</v>
      </c>
      <c r="D15" s="154">
        <f>(I15*C15)+(J15*K15)</f>
        <v>68.763499999999993</v>
      </c>
      <c r="E15" s="136" t="s">
        <v>115</v>
      </c>
      <c r="G15" s="26" t="s">
        <v>15</v>
      </c>
      <c r="H15" s="26" t="s">
        <v>16</v>
      </c>
      <c r="I15" s="27">
        <v>1</v>
      </c>
      <c r="J15" s="38">
        <v>24.05</v>
      </c>
      <c r="K15" s="38">
        <v>1.67</v>
      </c>
    </row>
    <row r="16" spans="1:15" ht="16.5" customHeight="1" x14ac:dyDescent="0.25">
      <c r="A16" s="3"/>
      <c r="B16" s="4"/>
      <c r="C16" s="4"/>
      <c r="D16" s="4"/>
    </row>
    <row r="17" spans="1:8" ht="30" x14ac:dyDescent="0.25">
      <c r="A17" s="3"/>
      <c r="B17" s="4"/>
      <c r="C17" s="6" t="s">
        <v>10</v>
      </c>
      <c r="D17" s="7" t="s">
        <v>131</v>
      </c>
      <c r="E17" s="7" t="s">
        <v>116</v>
      </c>
      <c r="F17" s="7" t="s">
        <v>117</v>
      </c>
      <c r="G17" s="133" t="s">
        <v>118</v>
      </c>
      <c r="H17" s="31" t="s">
        <v>86</v>
      </c>
    </row>
    <row r="18" spans="1:8" ht="16.5" customHeight="1" x14ac:dyDescent="0.25">
      <c r="A18" s="3"/>
      <c r="B18" s="4"/>
      <c r="C18" s="9" t="s">
        <v>101</v>
      </c>
      <c r="D18" s="137">
        <v>1.1397898945E-6</v>
      </c>
      <c r="E18" s="137">
        <v>7.6390173780000002E-7</v>
      </c>
      <c r="F18" s="137">
        <v>0</v>
      </c>
      <c r="G18" s="137">
        <v>4.6848231000000001E-9</v>
      </c>
      <c r="H18" s="32" t="s">
        <v>87</v>
      </c>
    </row>
    <row r="19" spans="1:8" ht="16.5" customHeight="1" x14ac:dyDescent="0.25">
      <c r="A19" s="3"/>
      <c r="B19" s="4"/>
      <c r="C19" s="9" t="s">
        <v>102</v>
      </c>
      <c r="D19" s="137">
        <v>1.1397898945E-6</v>
      </c>
      <c r="E19" s="137">
        <v>7.6390173780000002E-7</v>
      </c>
      <c r="F19" s="137">
        <v>0</v>
      </c>
      <c r="G19" s="137">
        <v>4.6848231000000001E-9</v>
      </c>
      <c r="H19" s="138"/>
    </row>
    <row r="20" spans="1:8" ht="16.5" customHeight="1" x14ac:dyDescent="0.25">
      <c r="A20" s="3"/>
      <c r="B20" s="4"/>
      <c r="C20" s="9" t="s">
        <v>100</v>
      </c>
      <c r="D20" s="137">
        <v>4.9273315559999997E-7</v>
      </c>
      <c r="E20" s="137">
        <v>9.4942073129999994E-6</v>
      </c>
      <c r="F20" s="137">
        <v>6.2831745000000001E-9</v>
      </c>
      <c r="G20" s="137">
        <v>2.320365308E-7</v>
      </c>
      <c r="H20" s="138"/>
    </row>
    <row r="21" spans="1:8" ht="16.5" customHeight="1" x14ac:dyDescent="0.25">
      <c r="A21" s="3"/>
      <c r="B21" s="4"/>
      <c r="C21" s="158" t="s">
        <v>132</v>
      </c>
      <c r="D21" s="139"/>
      <c r="E21" s="136"/>
      <c r="G21" s="140"/>
      <c r="H21" s="138"/>
    </row>
    <row r="22" spans="1:8" ht="45" x14ac:dyDescent="0.25">
      <c r="A22" s="3"/>
      <c r="B22" s="4"/>
      <c r="C22" s="6" t="s">
        <v>10</v>
      </c>
      <c r="D22" s="144" t="s">
        <v>121</v>
      </c>
      <c r="E22" s="144" t="s">
        <v>122</v>
      </c>
      <c r="F22" s="144" t="s">
        <v>123</v>
      </c>
      <c r="G22" s="145" t="s">
        <v>124</v>
      </c>
      <c r="H22" s="31" t="s">
        <v>86</v>
      </c>
    </row>
    <row r="23" spans="1:8" ht="16.5" customHeight="1" x14ac:dyDescent="0.25">
      <c r="A23" s="3"/>
      <c r="B23" s="4"/>
      <c r="C23" s="9" t="s">
        <v>101</v>
      </c>
      <c r="D23" s="137">
        <v>1.13979001525877E-6</v>
      </c>
      <c r="E23" s="137">
        <v>7.6390199410525405E-7</v>
      </c>
      <c r="F23" s="137">
        <v>0</v>
      </c>
      <c r="G23" s="137">
        <v>4.6848200874194398E-9</v>
      </c>
      <c r="H23" s="32" t="s">
        <v>87</v>
      </c>
    </row>
    <row r="24" spans="1:8" ht="16.5" customHeight="1" x14ac:dyDescent="0.25">
      <c r="A24" s="3"/>
      <c r="B24" s="4"/>
      <c r="C24" s="9" t="s">
        <v>102</v>
      </c>
      <c r="D24" s="137">
        <v>1.13979001525877E-6</v>
      </c>
      <c r="E24" s="137">
        <v>7.6390199410525405E-7</v>
      </c>
      <c r="F24" s="137">
        <v>0</v>
      </c>
      <c r="G24" s="137">
        <v>4.6848200874194398E-9</v>
      </c>
      <c r="H24" s="138"/>
    </row>
    <row r="25" spans="1:8" ht="16.5" customHeight="1" x14ac:dyDescent="0.25">
      <c r="A25" s="3"/>
      <c r="B25" s="4"/>
      <c r="C25" s="9" t="s">
        <v>100</v>
      </c>
      <c r="D25" s="137">
        <v>6.8982598122602202E-7</v>
      </c>
      <c r="E25" s="137">
        <v>1.32919003590359E-5</v>
      </c>
      <c r="F25" s="137">
        <v>8.7964400208306903E-9</v>
      </c>
      <c r="G25" s="137">
        <v>3.24850986999081E-7</v>
      </c>
      <c r="H25" s="138"/>
    </row>
    <row r="26" spans="1:8" ht="16.5" customHeight="1" x14ac:dyDescent="0.25">
      <c r="A26" s="3"/>
      <c r="B26" s="4"/>
      <c r="C26" s="141"/>
      <c r="D26" s="142"/>
      <c r="E26" s="142"/>
      <c r="F26" s="142"/>
      <c r="G26" s="142"/>
      <c r="H26" s="138"/>
    </row>
    <row r="27" spans="1:8" ht="16.5" customHeight="1" x14ac:dyDescent="0.25">
      <c r="A27" s="3"/>
      <c r="B27" s="4"/>
      <c r="C27" s="35" t="s">
        <v>130</v>
      </c>
      <c r="D27" s="35"/>
      <c r="E27" s="35"/>
      <c r="F27" s="142"/>
      <c r="G27" s="142"/>
      <c r="H27" s="138"/>
    </row>
    <row r="28" spans="1:8" ht="16.5" customHeight="1" x14ac:dyDescent="0.25">
      <c r="A28" s="3"/>
      <c r="B28" s="4"/>
      <c r="C28" s="6" t="s">
        <v>10</v>
      </c>
      <c r="D28" s="7" t="s">
        <v>119</v>
      </c>
      <c r="E28" s="7" t="s">
        <v>120</v>
      </c>
      <c r="F28" s="142"/>
      <c r="G28" s="142"/>
      <c r="H28" s="138"/>
    </row>
    <row r="29" spans="1:8" ht="16.5" customHeight="1" x14ac:dyDescent="0.25">
      <c r="A29" s="3"/>
      <c r="B29" s="4"/>
      <c r="C29" s="9" t="s">
        <v>101</v>
      </c>
      <c r="D29" s="29">
        <f>SUMPRODUCT(D18:G18,$C$40:$F$40)</f>
        <v>9.5156390115351003E-3</v>
      </c>
      <c r="E29" s="29">
        <f>SUMPRODUCT(D23:G23,$C$40:$F$40)</f>
        <v>9.5156401312737112E-3</v>
      </c>
      <c r="F29" s="142"/>
      <c r="G29" s="142"/>
      <c r="H29" s="138"/>
    </row>
    <row r="30" spans="1:8" ht="16.5" customHeight="1" x14ac:dyDescent="0.25">
      <c r="A30" s="3"/>
      <c r="B30" s="4"/>
      <c r="C30" s="9" t="s">
        <v>102</v>
      </c>
      <c r="D30" s="29">
        <f>SUMPRODUCT(D19:G19,$C$40:$F$40)</f>
        <v>9.5156390115351003E-3</v>
      </c>
      <c r="E30" s="29">
        <f>SUMPRODUCT(D24:G24,$C$40:$F$40)</f>
        <v>9.5156401312737112E-3</v>
      </c>
      <c r="F30" s="142"/>
      <c r="G30" s="142"/>
      <c r="H30" s="138"/>
    </row>
    <row r="31" spans="1:8" ht="16.5" customHeight="1" x14ac:dyDescent="0.25">
      <c r="A31" s="3"/>
      <c r="B31" s="4"/>
      <c r="C31" s="9" t="s">
        <v>100</v>
      </c>
      <c r="D31" s="29">
        <f>SUMPRODUCT(D20:G20,$C$40:$F$40)</f>
        <v>0.1521910586805241</v>
      </c>
      <c r="E31" s="29">
        <f>SUMPRODUCT(D25:G25,$C$40:$F$40)</f>
        <v>0.21306750349985981</v>
      </c>
      <c r="F31" s="142"/>
      <c r="G31" s="142"/>
      <c r="H31" s="138"/>
    </row>
    <row r="32" spans="1:8" ht="16.5" customHeight="1" x14ac:dyDescent="0.25">
      <c r="A32" s="3"/>
      <c r="B32" s="4"/>
      <c r="C32" s="4"/>
      <c r="D32" s="4"/>
    </row>
    <row r="33" spans="1:18" ht="30" x14ac:dyDescent="0.25">
      <c r="C33" s="6" t="s">
        <v>10</v>
      </c>
      <c r="D33" s="7" t="s">
        <v>26</v>
      </c>
      <c r="E33" s="7" t="s">
        <v>25</v>
      </c>
      <c r="F33" s="7" t="s">
        <v>24</v>
      </c>
      <c r="G33" s="7" t="s">
        <v>23</v>
      </c>
    </row>
    <row r="34" spans="1:18" ht="16.5" customHeight="1" x14ac:dyDescent="0.25">
      <c r="C34" s="9" t="s">
        <v>101</v>
      </c>
      <c r="D34" s="29">
        <v>3.41936993208947E-6</v>
      </c>
      <c r="E34" s="30">
        <v>2.2917099613550801E-6</v>
      </c>
      <c r="F34" s="30">
        <v>0</v>
      </c>
      <c r="G34" s="30">
        <v>1.4054499786198E-8</v>
      </c>
      <c r="H34" s="31" t="s">
        <v>86</v>
      </c>
    </row>
    <row r="35" spans="1:18" ht="16.5" customHeight="1" x14ac:dyDescent="0.25">
      <c r="C35" s="9" t="s">
        <v>102</v>
      </c>
      <c r="D35" s="29">
        <v>3.41936993208947E-6</v>
      </c>
      <c r="E35" s="30">
        <v>2.2917099613550801E-6</v>
      </c>
      <c r="F35" s="30">
        <v>0</v>
      </c>
      <c r="G35" s="30">
        <v>1.4054499786198E-8</v>
      </c>
      <c r="H35" s="32" t="s">
        <v>87</v>
      </c>
    </row>
    <row r="36" spans="1:18" ht="16.5" customHeight="1" x14ac:dyDescent="0.25">
      <c r="C36" s="9" t="s">
        <v>100</v>
      </c>
      <c r="D36" s="29">
        <v>2.0694799331977299E-6</v>
      </c>
      <c r="E36" s="30">
        <v>3.9875700167613097E-5</v>
      </c>
      <c r="F36" s="30">
        <v>2.6389299634388401E-8</v>
      </c>
      <c r="G36" s="30">
        <v>9.7455301784066208E-7</v>
      </c>
      <c r="H36" s="32" t="s">
        <v>88</v>
      </c>
    </row>
    <row r="37" spans="1:18" ht="16.5" customHeight="1" x14ac:dyDescent="0.25">
      <c r="A37" s="2"/>
      <c r="C37" s="3"/>
      <c r="D37" s="4"/>
    </row>
    <row r="38" spans="1:18" ht="21" customHeight="1" x14ac:dyDescent="0.25">
      <c r="C38" s="351" t="s">
        <v>128</v>
      </c>
      <c r="D38" s="351"/>
      <c r="E38" s="351"/>
      <c r="F38" s="351"/>
      <c r="G38" s="32"/>
    </row>
    <row r="39" spans="1:18" ht="16.5" customHeight="1" x14ac:dyDescent="0.25">
      <c r="C39" s="33" t="s">
        <v>82</v>
      </c>
      <c r="D39" s="33" t="s">
        <v>83</v>
      </c>
      <c r="E39" s="33" t="s">
        <v>84</v>
      </c>
      <c r="F39" s="33" t="s">
        <v>81</v>
      </c>
      <c r="G39" s="32"/>
      <c r="P39" s="4"/>
      <c r="Q39" s="4"/>
      <c r="R39" s="4"/>
    </row>
    <row r="40" spans="1:18" ht="16.5" customHeight="1" x14ac:dyDescent="0.25">
      <c r="C40" s="34">
        <v>1905</v>
      </c>
      <c r="D40" s="34">
        <v>7508</v>
      </c>
      <c r="E40" s="34">
        <v>44373</v>
      </c>
      <c r="F40" s="34">
        <v>343442</v>
      </c>
      <c r="G40" s="32"/>
      <c r="P40" s="4"/>
      <c r="Q40" s="4"/>
      <c r="R40" s="4"/>
    </row>
    <row r="41" spans="1:18" ht="16.5" customHeight="1" x14ac:dyDescent="0.25">
      <c r="C41" s="153" t="s">
        <v>85</v>
      </c>
      <c r="D41" s="32"/>
      <c r="E41" s="32"/>
      <c r="F41" s="32"/>
      <c r="G41" s="32"/>
      <c r="P41" s="4"/>
      <c r="Q41" s="4"/>
      <c r="R41" s="4"/>
    </row>
    <row r="42" spans="1:18" ht="16.5" customHeight="1" x14ac:dyDescent="0.25">
      <c r="A42" s="4"/>
      <c r="B42" s="4"/>
      <c r="C42" s="32"/>
      <c r="D42" s="32"/>
      <c r="E42" s="32"/>
      <c r="F42" s="32"/>
      <c r="G42" s="32"/>
      <c r="P42" s="4"/>
      <c r="Q42" s="4"/>
      <c r="R42" s="4"/>
    </row>
    <row r="43" spans="1:18" ht="16.5" customHeight="1" x14ac:dyDescent="0.25">
      <c r="A43" s="4"/>
      <c r="B43" s="4"/>
      <c r="C43" s="35" t="s">
        <v>129</v>
      </c>
      <c r="D43" s="35"/>
      <c r="E43" s="35"/>
      <c r="F43" s="36"/>
      <c r="P43" s="4"/>
      <c r="Q43" s="4"/>
      <c r="R43" s="4"/>
    </row>
    <row r="44" spans="1:18" ht="15.75" customHeight="1" x14ac:dyDescent="0.25">
      <c r="A44" s="4"/>
      <c r="B44" s="4"/>
      <c r="C44" s="6" t="s">
        <v>10</v>
      </c>
      <c r="D44" s="7" t="s">
        <v>104</v>
      </c>
      <c r="P44" s="4"/>
      <c r="Q44" s="4"/>
      <c r="R44" s="4"/>
    </row>
    <row r="45" spans="1:18" ht="16.5" customHeight="1" x14ac:dyDescent="0.25">
      <c r="A45" s="4"/>
      <c r="B45" s="4"/>
      <c r="C45" s="9" t="s">
        <v>101</v>
      </c>
      <c r="D45" s="29">
        <f>SUMPRODUCT(D34:G34,$C$40:$F$40)</f>
        <v>2.8546963626055796E-2</v>
      </c>
      <c r="P45" s="4"/>
      <c r="Q45" s="4"/>
      <c r="R45" s="4"/>
    </row>
    <row r="46" spans="1:18" ht="16.5" customHeight="1" x14ac:dyDescent="0.25">
      <c r="A46" s="4"/>
      <c r="B46" s="4"/>
      <c r="C46" s="9" t="s">
        <v>102</v>
      </c>
      <c r="D46" s="29">
        <f>SUMPRODUCT(D35:G35,$C$40:$F$40)</f>
        <v>2.8546963626055796E-2</v>
      </c>
    </row>
    <row r="47" spans="1:18" ht="16.5" customHeight="1" x14ac:dyDescent="0.25">
      <c r="A47" s="4"/>
      <c r="B47" s="4"/>
      <c r="C47" s="9" t="s">
        <v>100</v>
      </c>
      <c r="D47" s="29">
        <f>SUMPRODUCT(D36:G36,$C$40:$F$40)</f>
        <v>0.63920252607709016</v>
      </c>
    </row>
    <row r="48" spans="1:18" ht="16.5" customHeight="1" x14ac:dyDescent="0.25">
      <c r="A48" s="4"/>
      <c r="B48" s="4"/>
      <c r="C48" s="4"/>
      <c r="D48" s="4"/>
    </row>
    <row r="49" spans="1:4" ht="16.5" customHeight="1" x14ac:dyDescent="0.25">
      <c r="A49" s="4"/>
      <c r="B49" s="4"/>
      <c r="C49" s="4"/>
      <c r="D49" s="4"/>
    </row>
    <row r="50" spans="1:4" ht="16.5" customHeight="1" x14ac:dyDescent="0.25">
      <c r="A50" s="4"/>
      <c r="B50" s="4"/>
      <c r="C50" s="4"/>
      <c r="D50" s="4"/>
    </row>
    <row r="51" spans="1:4" ht="16.5" customHeight="1" x14ac:dyDescent="0.25">
      <c r="A51" s="4"/>
      <c r="B51" s="4"/>
      <c r="C51" s="4"/>
      <c r="D51" s="4"/>
    </row>
    <row r="52" spans="1:4" ht="16.5" customHeight="1" x14ac:dyDescent="0.25">
      <c r="A52" s="4"/>
      <c r="B52" s="4"/>
      <c r="C52" s="4"/>
      <c r="D52" s="4"/>
    </row>
    <row r="53" spans="1:4" ht="16.5" customHeight="1" x14ac:dyDescent="0.25">
      <c r="A53" s="4"/>
      <c r="B53" s="4"/>
      <c r="C53" s="4"/>
      <c r="D53" s="4"/>
    </row>
    <row r="54" spans="1:4" ht="16.5" customHeight="1" x14ac:dyDescent="0.25">
      <c r="A54" s="4"/>
      <c r="B54" s="4"/>
      <c r="C54" s="4"/>
      <c r="D54" s="4"/>
    </row>
    <row r="55" spans="1:4" ht="16.5" customHeight="1" x14ac:dyDescent="0.25">
      <c r="A55" s="4"/>
      <c r="B55" s="4"/>
      <c r="C55" s="4"/>
      <c r="D55" s="4"/>
    </row>
    <row r="56" spans="1:4" ht="16.5" customHeight="1" x14ac:dyDescent="0.25">
      <c r="A56" s="4"/>
      <c r="B56" s="4"/>
      <c r="C56" s="4"/>
      <c r="D56" s="4"/>
    </row>
    <row r="57" spans="1:4" ht="16.5" customHeight="1" x14ac:dyDescent="0.25">
      <c r="A57" s="4"/>
      <c r="B57" s="4"/>
      <c r="C57" s="4"/>
      <c r="D57" s="4"/>
    </row>
    <row r="58" spans="1:4" ht="16.5" customHeight="1" x14ac:dyDescent="0.25">
      <c r="A58" s="4"/>
      <c r="B58" s="4"/>
      <c r="C58" s="4"/>
      <c r="D58" s="4"/>
    </row>
    <row r="59" spans="1:4" ht="16.5" customHeight="1" x14ac:dyDescent="0.25">
      <c r="A59" s="4"/>
      <c r="B59" s="4"/>
      <c r="C59" s="4"/>
      <c r="D59" s="4"/>
    </row>
    <row r="60" spans="1:4" ht="16.5" customHeight="1" x14ac:dyDescent="0.25">
      <c r="A60" s="4"/>
      <c r="B60" s="4"/>
      <c r="C60" s="4"/>
      <c r="D60" s="4"/>
    </row>
    <row r="61" spans="1:4" ht="16.5" customHeight="1" x14ac:dyDescent="0.25">
      <c r="A61" s="4"/>
      <c r="B61" s="4"/>
      <c r="C61" s="4"/>
      <c r="D61" s="4"/>
    </row>
    <row r="62" spans="1:4" ht="16.5" customHeight="1" x14ac:dyDescent="0.25">
      <c r="A62" s="4"/>
      <c r="B62" s="4"/>
      <c r="C62" s="4"/>
      <c r="D62" s="4"/>
    </row>
    <row r="63" spans="1:4" ht="16.5" customHeight="1" x14ac:dyDescent="0.25">
      <c r="A63" s="4"/>
      <c r="B63" s="4"/>
      <c r="C63" s="4"/>
      <c r="D63" s="4"/>
    </row>
    <row r="64" spans="1:4" ht="16.5" customHeight="1" x14ac:dyDescent="0.25">
      <c r="A64" s="4"/>
      <c r="B64" s="4"/>
      <c r="C64" s="4"/>
      <c r="D64" s="4"/>
    </row>
    <row r="65" spans="1:4" ht="16.5" customHeight="1" x14ac:dyDescent="0.25">
      <c r="A65" s="4"/>
      <c r="B65" s="4"/>
      <c r="C65" s="4"/>
      <c r="D65" s="4"/>
    </row>
    <row r="66" spans="1:4" ht="16.5" customHeight="1" x14ac:dyDescent="0.25">
      <c r="A66" s="4"/>
      <c r="B66" s="4"/>
      <c r="C66" s="4"/>
      <c r="D66" s="4"/>
    </row>
    <row r="67" spans="1:4" ht="16.5" customHeight="1" x14ac:dyDescent="0.25">
      <c r="A67" s="4"/>
      <c r="B67" s="4"/>
      <c r="C67" s="4"/>
      <c r="D67" s="4"/>
    </row>
    <row r="68" spans="1:4" ht="16.5" customHeight="1" x14ac:dyDescent="0.25">
      <c r="A68" s="4"/>
      <c r="B68" s="4"/>
      <c r="C68" s="4"/>
      <c r="D68" s="4"/>
    </row>
    <row r="69" spans="1:4" ht="16.5" customHeight="1" x14ac:dyDescent="0.25">
      <c r="A69" s="4"/>
      <c r="B69" s="4"/>
      <c r="C69" s="4"/>
      <c r="D69" s="4"/>
    </row>
    <row r="70" spans="1:4" ht="16.5" customHeight="1" x14ac:dyDescent="0.25">
      <c r="A70" s="4"/>
      <c r="B70" s="4"/>
      <c r="C70" s="4"/>
      <c r="D70" s="4"/>
    </row>
    <row r="71" spans="1:4" ht="16.5" customHeight="1" x14ac:dyDescent="0.25">
      <c r="A71" s="4"/>
      <c r="B71" s="4"/>
      <c r="C71" s="4"/>
      <c r="D71" s="4"/>
    </row>
    <row r="72" spans="1:4" ht="16.5" customHeight="1" x14ac:dyDescent="0.25">
      <c r="A72" s="4"/>
      <c r="B72" s="4"/>
      <c r="C72" s="4"/>
      <c r="D72" s="4"/>
    </row>
    <row r="73" spans="1:4" ht="16.5" customHeight="1" x14ac:dyDescent="0.25">
      <c r="A73" s="4"/>
      <c r="B73" s="4"/>
      <c r="C73" s="4"/>
      <c r="D73" s="4"/>
    </row>
    <row r="74" spans="1:4" ht="16.5" customHeight="1" x14ac:dyDescent="0.25">
      <c r="A74" s="4"/>
      <c r="B74" s="4"/>
      <c r="C74" s="4"/>
      <c r="D74" s="4"/>
    </row>
  </sheetData>
  <mergeCells count="1">
    <mergeCell ref="C38:F38"/>
  </mergeCells>
  <hyperlinks>
    <hyperlink ref="C41" r:id="rId1" xr:uid="{00000000-0004-0000-0600-000000000000}"/>
    <hyperlink ref="J8" r:id="rId2" xr:uid="{8F6936E2-2B40-413A-89B8-F76131E4B000}"/>
    <hyperlink ref="J9" r:id="rId3" xr:uid="{B8606D6F-3C2D-41CE-8AF2-97EAC0A454E6}"/>
  </hyperlinks>
  <printOptions horizontalCentered="1"/>
  <pageMargins left="0.26041666666666702" right="0.26041666666666702" top="0.52083333333333304" bottom="0.52083333333333304" header="0" footer="0"/>
  <pageSetup scale="95" fitToWidth="0" orientation="landscape" useFirstPageNumber="1"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1A48C-4D10-4598-9FAD-84EDA3F20A6C}">
  <sheetPr>
    <tabColor rgb="FFC00000"/>
  </sheetPr>
  <dimension ref="A1:BO33"/>
  <sheetViews>
    <sheetView zoomScaleNormal="100" zoomScaleSheetLayoutView="106" workbookViewId="0">
      <pane xSplit="1" ySplit="4" topLeftCell="P23" activePane="bottomRight" state="frozen"/>
      <selection activeCell="G14" sqref="G14"/>
      <selection pane="topRight" activeCell="G14" sqref="G14"/>
      <selection pane="bottomLeft" activeCell="G14" sqref="G14"/>
      <selection pane="bottomRight" activeCell="U10" sqref="U10"/>
    </sheetView>
  </sheetViews>
  <sheetFormatPr defaultColWidth="9.140625" defaultRowHeight="15" x14ac:dyDescent="0.25"/>
  <cols>
    <col min="1" max="1" width="10" style="54" bestFit="1" customWidth="1"/>
    <col min="2" max="2" width="14.42578125" style="54" bestFit="1" customWidth="1"/>
    <col min="3" max="3" width="14.28515625" style="54" customWidth="1"/>
    <col min="4" max="4" width="14" style="54" bestFit="1" customWidth="1"/>
    <col min="5" max="5" width="14.140625" style="54" customWidth="1"/>
    <col min="6" max="6" width="15.42578125" style="54" customWidth="1"/>
    <col min="7" max="7" width="16" style="54" customWidth="1"/>
    <col min="8" max="8" width="14" style="54" customWidth="1"/>
    <col min="9" max="9" width="17.42578125" style="54" customWidth="1"/>
    <col min="10" max="10" width="15.85546875" style="54" customWidth="1"/>
    <col min="11" max="11" width="14.28515625" style="54" customWidth="1"/>
    <col min="12" max="12" width="16.140625" style="54" customWidth="1"/>
    <col min="13" max="13" width="14.5703125" style="54" customWidth="1"/>
    <col min="14" max="14" width="16.140625" style="54" customWidth="1"/>
    <col min="15" max="15" width="18.7109375" style="54" customWidth="1"/>
    <col min="16" max="16" width="15.42578125" style="54" customWidth="1"/>
    <col min="17" max="17" width="12.5703125" style="54" customWidth="1"/>
    <col min="18" max="18" width="14.28515625" style="54" customWidth="1"/>
    <col min="19" max="19" width="12.7109375" style="54" bestFit="1" customWidth="1"/>
    <col min="20" max="20" width="12.7109375" style="54" customWidth="1"/>
    <col min="21" max="21" width="11.7109375" style="54" customWidth="1"/>
    <col min="22" max="22" width="9.42578125" style="54" customWidth="1"/>
    <col min="23" max="23" width="9.85546875" style="54" customWidth="1"/>
    <col min="24" max="24" width="12.5703125" style="54" customWidth="1"/>
    <col min="25" max="25" width="11.140625" style="54" customWidth="1"/>
    <col min="26" max="26" width="15.42578125" style="54" customWidth="1"/>
    <col min="27" max="27" width="12.7109375" style="54" bestFit="1" customWidth="1"/>
    <col min="28" max="28" width="9.85546875" style="54" bestFit="1" customWidth="1"/>
    <col min="29" max="29" width="11.5703125" style="54" bestFit="1" customWidth="1"/>
    <col min="30" max="30" width="12.7109375" style="54" bestFit="1" customWidth="1"/>
    <col min="31" max="31" width="9.85546875" style="54" bestFit="1" customWidth="1"/>
    <col min="32" max="32" width="14.85546875" style="54" customWidth="1"/>
    <col min="33" max="33" width="10.85546875" style="54" customWidth="1"/>
    <col min="34" max="34" width="11.140625" style="54" customWidth="1"/>
    <col min="35" max="35" width="12.140625" style="54" customWidth="1"/>
    <col min="36" max="36" width="10.85546875" style="54" customWidth="1"/>
    <col min="37" max="37" width="11.85546875" style="54" customWidth="1"/>
    <col min="38" max="40" width="9.140625" style="54"/>
    <col min="41" max="41" width="11.140625" style="54" bestFit="1" customWidth="1"/>
    <col min="42" max="42" width="13" style="54" bestFit="1" customWidth="1"/>
    <col min="43" max="43" width="12.5703125" style="54" bestFit="1" customWidth="1"/>
    <col min="44" max="44" width="12" style="54" bestFit="1" customWidth="1"/>
    <col min="45" max="45" width="11.7109375" style="54" bestFit="1" customWidth="1"/>
    <col min="46" max="46" width="10.5703125" style="54" customWidth="1"/>
    <col min="47" max="16384" width="9.140625" style="54"/>
  </cols>
  <sheetData>
    <row r="1" spans="1:67" x14ac:dyDescent="0.25">
      <c r="B1" s="95" t="s">
        <v>79</v>
      </c>
      <c r="D1" s="96"/>
      <c r="I1" s="95" t="s">
        <v>79</v>
      </c>
      <c r="K1" s="95" t="s">
        <v>79</v>
      </c>
      <c r="N1" s="95" t="s">
        <v>79</v>
      </c>
      <c r="R1" s="106"/>
      <c r="T1" s="106"/>
      <c r="Z1" s="95" t="s">
        <v>79</v>
      </c>
      <c r="AF1" s="97">
        <v>100000000</v>
      </c>
    </row>
    <row r="2" spans="1:67" s="100" customFormat="1" ht="15" customHeight="1" x14ac:dyDescent="0.25">
      <c r="A2" s="98"/>
      <c r="B2" s="352" t="s">
        <v>3</v>
      </c>
      <c r="C2" s="353"/>
      <c r="D2" s="354"/>
      <c r="E2" s="352" t="s">
        <v>4</v>
      </c>
      <c r="F2" s="353"/>
      <c r="G2" s="354"/>
      <c r="H2" s="352" t="s">
        <v>3</v>
      </c>
      <c r="I2" s="353"/>
      <c r="J2" s="354"/>
      <c r="K2" s="352" t="s">
        <v>4</v>
      </c>
      <c r="L2" s="353"/>
      <c r="M2" s="354"/>
      <c r="N2" s="352" t="s">
        <v>3</v>
      </c>
      <c r="O2" s="353"/>
      <c r="P2" s="354"/>
      <c r="Q2" s="352" t="s">
        <v>4</v>
      </c>
      <c r="R2" s="353"/>
      <c r="S2" s="354"/>
      <c r="T2" s="352" t="s">
        <v>3</v>
      </c>
      <c r="U2" s="353"/>
      <c r="V2" s="354"/>
      <c r="W2" s="352" t="s">
        <v>4</v>
      </c>
      <c r="X2" s="353"/>
      <c r="Y2" s="354"/>
      <c r="Z2" s="352" t="s">
        <v>3</v>
      </c>
      <c r="AA2" s="353"/>
      <c r="AB2" s="354"/>
      <c r="AC2" s="352" t="s">
        <v>4</v>
      </c>
      <c r="AD2" s="353"/>
      <c r="AE2" s="354"/>
      <c r="AF2" s="352" t="s">
        <v>3</v>
      </c>
      <c r="AG2" s="353"/>
      <c r="AH2" s="354"/>
      <c r="AI2" s="352" t="s">
        <v>4</v>
      </c>
      <c r="AJ2" s="353"/>
      <c r="AK2" s="354"/>
      <c r="AL2" s="357" t="s">
        <v>229</v>
      </c>
      <c r="AM2" s="355"/>
      <c r="AN2" s="355"/>
      <c r="AO2" s="355"/>
      <c r="AP2" s="355"/>
      <c r="AQ2" s="355"/>
      <c r="AR2" s="355"/>
      <c r="AS2" s="355"/>
      <c r="AT2" s="355"/>
      <c r="AU2" s="355"/>
      <c r="AV2" s="355"/>
      <c r="AW2" s="355"/>
      <c r="AX2" s="355" t="s">
        <v>230</v>
      </c>
      <c r="AY2" s="355"/>
      <c r="AZ2" s="355"/>
      <c r="BA2" s="355" t="s">
        <v>231</v>
      </c>
      <c r="BB2" s="355"/>
      <c r="BC2" s="355"/>
      <c r="BD2" s="355" t="s">
        <v>229</v>
      </c>
      <c r="BE2" s="355"/>
      <c r="BF2" s="355"/>
      <c r="BG2" s="355" t="s">
        <v>230</v>
      </c>
      <c r="BH2" s="355"/>
      <c r="BI2" s="355"/>
      <c r="BJ2" s="355" t="s">
        <v>231</v>
      </c>
      <c r="BK2" s="355"/>
      <c r="BL2" s="355"/>
      <c r="BM2" s="355" t="s">
        <v>229</v>
      </c>
      <c r="BN2" s="355"/>
      <c r="BO2" s="355"/>
    </row>
    <row r="3" spans="1:67" s="100" customFormat="1" ht="30" customHeight="1" x14ac:dyDescent="0.25">
      <c r="A3" s="98"/>
      <c r="B3" s="352" t="s">
        <v>2</v>
      </c>
      <c r="C3" s="353"/>
      <c r="D3" s="354"/>
      <c r="E3" s="352" t="s">
        <v>2</v>
      </c>
      <c r="F3" s="353"/>
      <c r="G3" s="354"/>
      <c r="H3" s="352" t="s">
        <v>22</v>
      </c>
      <c r="I3" s="353"/>
      <c r="J3" s="354"/>
      <c r="K3" s="352" t="s">
        <v>22</v>
      </c>
      <c r="L3" s="353"/>
      <c r="M3" s="354"/>
      <c r="N3" s="352" t="s">
        <v>8</v>
      </c>
      <c r="O3" s="353"/>
      <c r="P3" s="354"/>
      <c r="Q3" s="352" t="s">
        <v>8</v>
      </c>
      <c r="R3" s="353"/>
      <c r="S3" s="354"/>
      <c r="T3" s="352" t="s">
        <v>38</v>
      </c>
      <c r="U3" s="353"/>
      <c r="V3" s="354"/>
      <c r="W3" s="352" t="s">
        <v>38</v>
      </c>
      <c r="X3" s="353"/>
      <c r="Y3" s="354"/>
      <c r="Z3" s="352" t="s">
        <v>111</v>
      </c>
      <c r="AA3" s="353"/>
      <c r="AB3" s="354"/>
      <c r="AC3" s="352" t="s">
        <v>39</v>
      </c>
      <c r="AD3" s="353"/>
      <c r="AE3" s="354"/>
      <c r="AF3" s="352" t="s">
        <v>45</v>
      </c>
      <c r="AG3" s="353"/>
      <c r="AH3" s="354"/>
      <c r="AI3" s="352" t="s">
        <v>45</v>
      </c>
      <c r="AJ3" s="353"/>
      <c r="AK3" s="354"/>
      <c r="AL3" s="356" t="s">
        <v>2</v>
      </c>
      <c r="AM3" s="356"/>
      <c r="AN3" s="356"/>
      <c r="AO3" s="356" t="s">
        <v>226</v>
      </c>
      <c r="AP3" s="356"/>
      <c r="AQ3" s="356"/>
      <c r="AR3" s="356" t="s">
        <v>8</v>
      </c>
      <c r="AS3" s="356"/>
      <c r="AT3" s="356"/>
      <c r="AU3" s="356" t="s">
        <v>232</v>
      </c>
      <c r="AV3" s="356"/>
      <c r="AW3" s="356"/>
      <c r="AX3" s="359" t="s">
        <v>233</v>
      </c>
      <c r="AY3" s="359"/>
      <c r="AZ3" s="359"/>
      <c r="BA3" s="359" t="s">
        <v>233</v>
      </c>
      <c r="BB3" s="359"/>
      <c r="BC3" s="359"/>
      <c r="BD3" s="358" t="s">
        <v>233</v>
      </c>
      <c r="BE3" s="358"/>
      <c r="BF3" s="358"/>
      <c r="BG3" s="359" t="s">
        <v>234</v>
      </c>
      <c r="BH3" s="359"/>
      <c r="BI3" s="359"/>
      <c r="BJ3" s="359" t="s">
        <v>234</v>
      </c>
      <c r="BK3" s="359"/>
      <c r="BL3" s="359"/>
      <c r="BM3" s="358" t="s">
        <v>234</v>
      </c>
      <c r="BN3" s="358"/>
      <c r="BO3" s="358"/>
    </row>
    <row r="4" spans="1:67" s="100" customFormat="1" ht="30" x14ac:dyDescent="0.25">
      <c r="A4" s="101" t="s">
        <v>0</v>
      </c>
      <c r="B4" s="101" t="s">
        <v>20</v>
      </c>
      <c r="C4" s="101" t="s">
        <v>21</v>
      </c>
      <c r="D4" s="101" t="s">
        <v>1</v>
      </c>
      <c r="E4" s="101" t="s">
        <v>20</v>
      </c>
      <c r="F4" s="101" t="s">
        <v>21</v>
      </c>
      <c r="G4" s="101" t="s">
        <v>1</v>
      </c>
      <c r="H4" s="101" t="s">
        <v>20</v>
      </c>
      <c r="I4" s="101" t="s">
        <v>21</v>
      </c>
      <c r="J4" s="101" t="s">
        <v>1</v>
      </c>
      <c r="K4" s="101" t="s">
        <v>20</v>
      </c>
      <c r="L4" s="101" t="s">
        <v>21</v>
      </c>
      <c r="M4" s="101" t="s">
        <v>1</v>
      </c>
      <c r="N4" s="101" t="s">
        <v>20</v>
      </c>
      <c r="O4" s="101" t="s">
        <v>21</v>
      </c>
      <c r="P4" s="101" t="s">
        <v>1</v>
      </c>
      <c r="Q4" s="101" t="s">
        <v>20</v>
      </c>
      <c r="R4" s="101" t="s">
        <v>21</v>
      </c>
      <c r="S4" s="101" t="s">
        <v>1</v>
      </c>
      <c r="T4" s="101" t="s">
        <v>20</v>
      </c>
      <c r="U4" s="101" t="s">
        <v>21</v>
      </c>
      <c r="V4" s="101" t="s">
        <v>1</v>
      </c>
      <c r="W4" s="101" t="s">
        <v>20</v>
      </c>
      <c r="X4" s="101" t="s">
        <v>21</v>
      </c>
      <c r="Y4" s="101" t="s">
        <v>1</v>
      </c>
      <c r="Z4" s="101" t="s">
        <v>20</v>
      </c>
      <c r="AA4" s="101" t="s">
        <v>21</v>
      </c>
      <c r="AB4" s="101" t="s">
        <v>1</v>
      </c>
      <c r="AC4" s="101" t="s">
        <v>20</v>
      </c>
      <c r="AD4" s="101" t="s">
        <v>21</v>
      </c>
      <c r="AE4" s="101" t="s">
        <v>1</v>
      </c>
      <c r="AF4" s="101" t="s">
        <v>41</v>
      </c>
      <c r="AG4" s="101" t="s">
        <v>42</v>
      </c>
      <c r="AH4" s="101" t="s">
        <v>43</v>
      </c>
      <c r="AI4" s="101" t="s">
        <v>41</v>
      </c>
      <c r="AJ4" s="101" t="s">
        <v>42</v>
      </c>
      <c r="AK4" s="101" t="s">
        <v>43</v>
      </c>
      <c r="AL4" s="230" t="s">
        <v>20</v>
      </c>
      <c r="AM4" s="230" t="s">
        <v>21</v>
      </c>
      <c r="AN4" s="230" t="s">
        <v>1</v>
      </c>
      <c r="AO4" s="230" t="s">
        <v>20</v>
      </c>
      <c r="AP4" s="230" t="s">
        <v>21</v>
      </c>
      <c r="AQ4" s="230" t="s">
        <v>1</v>
      </c>
      <c r="AR4" s="230" t="s">
        <v>20</v>
      </c>
      <c r="AS4" s="230" t="s">
        <v>21</v>
      </c>
      <c r="AT4" s="230" t="s">
        <v>1</v>
      </c>
      <c r="AU4" s="230" t="s">
        <v>20</v>
      </c>
      <c r="AV4" s="230" t="s">
        <v>21</v>
      </c>
      <c r="AW4" s="230" t="s">
        <v>1</v>
      </c>
      <c r="AX4" s="231" t="s">
        <v>20</v>
      </c>
      <c r="AY4" s="231" t="s">
        <v>21</v>
      </c>
      <c r="AZ4" s="231" t="s">
        <v>1</v>
      </c>
      <c r="BA4" s="231" t="s">
        <v>20</v>
      </c>
      <c r="BB4" s="231" t="s">
        <v>21</v>
      </c>
      <c r="BC4" s="231" t="s">
        <v>1</v>
      </c>
      <c r="BD4" s="232" t="s">
        <v>20</v>
      </c>
      <c r="BE4" s="232" t="s">
        <v>21</v>
      </c>
      <c r="BF4" s="232" t="s">
        <v>1</v>
      </c>
      <c r="BG4" s="231" t="s">
        <v>20</v>
      </c>
      <c r="BH4" s="231" t="s">
        <v>21</v>
      </c>
      <c r="BI4" s="231" t="s">
        <v>1</v>
      </c>
      <c r="BJ4" s="231" t="s">
        <v>20</v>
      </c>
      <c r="BK4" s="231" t="s">
        <v>21</v>
      </c>
      <c r="BL4" s="231" t="s">
        <v>1</v>
      </c>
      <c r="BM4" s="232" t="s">
        <v>20</v>
      </c>
      <c r="BN4" s="232" t="s">
        <v>21</v>
      </c>
      <c r="BO4" s="232" t="s">
        <v>1</v>
      </c>
    </row>
    <row r="5" spans="1:67" x14ac:dyDescent="0.25">
      <c r="A5" s="223">
        <v>2020</v>
      </c>
      <c r="B5" s="233">
        <v>3659227</v>
      </c>
      <c r="C5" s="233">
        <v>14544911</v>
      </c>
      <c r="D5" s="233">
        <v>3824790</v>
      </c>
      <c r="E5" s="233">
        <v>3659227</v>
      </c>
      <c r="F5" s="233">
        <v>14544911</v>
      </c>
      <c r="G5" s="233">
        <v>3824790</v>
      </c>
      <c r="H5" s="234">
        <v>61037580</v>
      </c>
      <c r="I5" s="233">
        <v>239694916</v>
      </c>
      <c r="J5" s="233">
        <v>56495065</v>
      </c>
      <c r="K5" s="233">
        <v>60837291</v>
      </c>
      <c r="L5" s="233">
        <v>238963162</v>
      </c>
      <c r="M5" s="233">
        <v>56190175</v>
      </c>
      <c r="N5" s="236">
        <v>1264290.6499999999</v>
      </c>
      <c r="O5" s="236">
        <v>5057162.5999999996</v>
      </c>
      <c r="P5" s="236">
        <v>1071408.8333333333</v>
      </c>
      <c r="Q5" s="237">
        <v>1228397.7666666666</v>
      </c>
      <c r="R5" s="237">
        <v>4913591.0666666664</v>
      </c>
      <c r="S5" s="237">
        <v>999807</v>
      </c>
      <c r="T5" s="384">
        <v>0.08</v>
      </c>
      <c r="U5" s="384">
        <v>0.08</v>
      </c>
      <c r="V5" s="384">
        <v>0.08</v>
      </c>
      <c r="W5" s="297">
        <v>0.08</v>
      </c>
      <c r="X5" s="297">
        <v>0.08</v>
      </c>
      <c r="Y5" s="297">
        <v>0.08</v>
      </c>
      <c r="Z5" s="102">
        <f>IFERROR((-1.5*T5^4+2.05*T5^3+0.16*T5^2+0.04*T5+0.025)*N5,0)*'Fixed Factors'!$I$13</f>
        <v>53093.762451982548</v>
      </c>
      <c r="AA5" s="102">
        <f>IFERROR((-1.5*U5^4+2.05*U5^3+0.16*U5^2+0.04*U5+0.025)*O5,0)*'Fixed Factors'!$I$14</f>
        <v>212375.04980793019</v>
      </c>
      <c r="AB5" s="102">
        <f>IFERROR((-1.5*V5^4+2.05*V5^3+0.16*V5^2+0.04*V5+0.025)*P5,0)*'Fixed Factors'!$I$15</f>
        <v>32369.57509808</v>
      </c>
      <c r="AC5" s="103">
        <f>IFERROR((-1.5*(W5)^4+2.05*(W5)^3+0.16*(W5)^2+0.04*W5+0.025)*Q5,0)*'Fixed Factors'!$I$13</f>
        <v>51586.444319544637</v>
      </c>
      <c r="AD5" s="103">
        <f>IFERROR((-1.5*(X5)^4+2.05*(X5)^3+0.16*(X5)^2+0.04*X5+0.025)*R5,0)*'Fixed Factors'!$I$14</f>
        <v>206345.77727817855</v>
      </c>
      <c r="AE5" s="103">
        <f>IFERROR((-1.5*(Y5)^4+2.05*(Y5)^3+0.16*(Y5)^2+0.04*Y5+0.025)*S5,0)*'Fixed Factors'!$I$15</f>
        <v>30206.32905312</v>
      </c>
      <c r="AF5" s="224">
        <f>H5/$AF$1*'Network Crash Rates'!$D$4+'Network Model Data'!I5/$AF$1*'Network Crash Rates'!$D$5+'Network Model Data'!J5/$AF$1*'Network Crash Rates'!$D$6</f>
        <v>2.7778015143359998</v>
      </c>
      <c r="AG5" s="224">
        <f>H5/'Network Model Data'!$AF$1*'Network Crash Rates'!$E$4+I5/'Network Model Data'!$AF$1*'Network Crash Rates'!$E$5+J5/'Network Model Data'!$AF$1*'Network Crash Rates'!$E$6</f>
        <v>125.005712103413</v>
      </c>
      <c r="AH5" s="224">
        <f>H5/$AF$1*'Network Crash Rates'!$F$4+I5/$AF$1*'Network Crash Rates'!$F$5+J5/$AF$1*'Network Crash Rates'!$F$6</f>
        <v>452.79843653213504</v>
      </c>
      <c r="AI5" s="224">
        <f>K5/$AF$1*'Network Crash Rates'!$D$7+L5/$AF$1*'Network Crash Rates'!$D$8+M5/$AF$1*'Network Crash Rates'!$D$9</f>
        <v>2.7681831233279999</v>
      </c>
      <c r="AJ5" s="225">
        <f>K5/$AF$1*'Network Crash Rates'!$E$7+L5/$AF$1*'Network Crash Rates'!$E$8+M5/$AF$1*'Network Crash Rates'!$E$9</f>
        <v>124.57286842792399</v>
      </c>
      <c r="AK5" s="225">
        <f>K5/$AF$1*'Network Crash Rates'!$F$7+L5/$AF$1*'Network Crash Rates'!$F$8+M5/$AF$1*'Network Crash Rates'!$F$9</f>
        <v>451.23058066197996</v>
      </c>
      <c r="AL5" s="238">
        <f>E5-B5</f>
        <v>0</v>
      </c>
      <c r="AM5" s="238">
        <f t="shared" ref="AM5:AN20" si="0">F5-C5</f>
        <v>0</v>
      </c>
      <c r="AN5" s="238">
        <f t="shared" si="0"/>
        <v>0</v>
      </c>
      <c r="AO5" s="106">
        <f>K5-H5</f>
        <v>-200289</v>
      </c>
      <c r="AP5" s="106">
        <f t="shared" ref="AP5:AQ20" si="1">L5-I5</f>
        <v>-731754</v>
      </c>
      <c r="AQ5" s="106">
        <f t="shared" si="1"/>
        <v>-304890</v>
      </c>
      <c r="AR5" s="106">
        <f>Q5-N5</f>
        <v>-35892.883333333302</v>
      </c>
      <c r="AS5" s="106">
        <f t="shared" ref="AS5:AT20" si="2">R5-O5</f>
        <v>-143571.53333333321</v>
      </c>
      <c r="AT5" s="106">
        <f t="shared" si="2"/>
        <v>-71601.833333333256</v>
      </c>
      <c r="AU5" s="239">
        <f>W5-T5</f>
        <v>0</v>
      </c>
      <c r="AV5" s="239">
        <f t="shared" ref="AV5:AW20" si="3">X5-U5</f>
        <v>0</v>
      </c>
      <c r="AW5" s="239">
        <f t="shared" si="3"/>
        <v>0</v>
      </c>
      <c r="AX5" s="240">
        <f>H5/B5</f>
        <v>16.680457375287183</v>
      </c>
      <c r="AY5" s="240">
        <f t="shared" ref="AY5:BA20" si="4">I5/C5</f>
        <v>16.479641298595777</v>
      </c>
      <c r="AZ5" s="240">
        <f t="shared" si="4"/>
        <v>14.770762577814729</v>
      </c>
      <c r="BA5" s="240">
        <f>K5/E5</f>
        <v>16.625722044573894</v>
      </c>
      <c r="BB5" s="240">
        <f t="shared" ref="BB5:BC20" si="5">L5/F5</f>
        <v>16.429331331075179</v>
      </c>
      <c r="BC5" s="240">
        <f t="shared" si="5"/>
        <v>14.691048397428355</v>
      </c>
      <c r="BD5" s="227">
        <f>BA5-AX5</f>
        <v>-5.4735330713288732E-2</v>
      </c>
      <c r="BE5" s="227">
        <f t="shared" ref="BE5:BF20" si="6">BB5-AY5</f>
        <v>-5.0309967520597354E-2</v>
      </c>
      <c r="BF5" s="227">
        <f t="shared" si="6"/>
        <v>-7.9714180386373457E-2</v>
      </c>
      <c r="BG5" s="228">
        <f>H5/N5</f>
        <v>48.278123388795137</v>
      </c>
      <c r="BH5" s="228">
        <f t="shared" ref="BH5:BJ20" si="7">I5/O5</f>
        <v>47.39711473781761</v>
      </c>
      <c r="BI5" s="228">
        <f t="shared" si="7"/>
        <v>52.729698731561079</v>
      </c>
      <c r="BJ5" s="228">
        <f>K5/Q5</f>
        <v>49.525725828276094</v>
      </c>
      <c r="BK5" s="228">
        <f t="shared" ref="BK5:BL20" si="8">L5/R5</f>
        <v>48.633099246110106</v>
      </c>
      <c r="BL5" s="228">
        <f t="shared" si="8"/>
        <v>56.201021797206863</v>
      </c>
      <c r="BM5" s="228">
        <f>BJ5-BG5</f>
        <v>1.2476024394809571</v>
      </c>
      <c r="BN5" s="228">
        <f t="shared" ref="BN5:BO20" si="9">BK5-BH5</f>
        <v>1.2359845082924963</v>
      </c>
      <c r="BO5" s="228">
        <f t="shared" si="9"/>
        <v>3.4713230656457839</v>
      </c>
    </row>
    <row r="6" spans="1:67" x14ac:dyDescent="0.25">
      <c r="A6" s="223">
        <v>2021</v>
      </c>
      <c r="B6" s="103">
        <f t="shared" ref="B6:G15" si="10">IFERROR(B$5*((1+B$30)^($A6-$A$5)),0)</f>
        <v>3660875.922019504</v>
      </c>
      <c r="C6" s="103">
        <f t="shared" si="10"/>
        <v>14550798.207286116</v>
      </c>
      <c r="D6" s="103">
        <f t="shared" si="10"/>
        <v>3898235.2711699749</v>
      </c>
      <c r="E6" s="103">
        <f t="shared" si="10"/>
        <v>3660875.922019504</v>
      </c>
      <c r="F6" s="103">
        <f t="shared" si="10"/>
        <v>14550798.207286116</v>
      </c>
      <c r="G6" s="103">
        <f t="shared" si="10"/>
        <v>3898235.2711699749</v>
      </c>
      <c r="H6" s="103">
        <f t="shared" ref="H6:H20" si="11">IFERROR(H5*(1+H$30),0)</f>
        <v>61046879.577449642</v>
      </c>
      <c r="I6" s="103">
        <f t="shared" ref="I6:I20" si="12">IFERROR(I5*(1+I$30),0)</f>
        <v>239749260.63878885</v>
      </c>
      <c r="J6" s="103">
        <f t="shared" ref="J6:J20" si="13">IFERROR(J5*(1+J$30),0)</f>
        <v>57526983.703390047</v>
      </c>
      <c r="K6" s="103">
        <f t="shared" ref="K6:K20" si="14">IFERROR(K5*(1+K$30),0)</f>
        <v>60841494.839256771</v>
      </c>
      <c r="L6" s="103">
        <f t="shared" ref="L6:L20" si="15">IFERROR(L5*(1+L$30),0)</f>
        <v>238981130.65837717</v>
      </c>
      <c r="M6" s="103">
        <f t="shared" ref="M6:M20" si="16">IFERROR(M5*(1+M$30),0)</f>
        <v>57222518.537819721</v>
      </c>
      <c r="N6" s="103">
        <f t="shared" ref="N6:N20" si="17">IFERROR(N5*(1+N$30),0)</f>
        <v>1264621.4290548833</v>
      </c>
      <c r="O6" s="103">
        <f t="shared" ref="O6:O20" si="18">IFERROR(O5*(1+O$30),0)</f>
        <v>5058485.7162195332</v>
      </c>
      <c r="P6" s="103">
        <f t="shared" ref="P6:P20" si="19">IFERROR(P5*(1+P$30),0)</f>
        <v>1094580.037907487</v>
      </c>
      <c r="Q6" s="103">
        <f t="shared" ref="Q6:Q20" si="20">IFERROR(Q5*(1+Q$30),0)</f>
        <v>1229014.5853965881</v>
      </c>
      <c r="R6" s="103">
        <f t="shared" ref="R6:R20" si="21">IFERROR(R5*(1+R$30),0)</f>
        <v>4916058.3415863523</v>
      </c>
      <c r="S6" s="103">
        <f t="shared" ref="S6:S20" si="22">IFERROR(S5*(1+S$30),0)</f>
        <v>1020588.4926476442</v>
      </c>
      <c r="T6" s="235">
        <f t="shared" ref="T6:T20" si="23">IFERROR(T5*(1+T$30),0)</f>
        <v>0.08</v>
      </c>
      <c r="U6" s="235">
        <f t="shared" ref="U6:U20" si="24">IFERROR(U5*(1+U$30),0)</f>
        <v>0.08</v>
      </c>
      <c r="V6" s="235">
        <f t="shared" ref="V6:V20" si="25">IFERROR(V5*(1+V$30),0)</f>
        <v>0.08</v>
      </c>
      <c r="W6" s="241">
        <v>0.08</v>
      </c>
      <c r="X6" s="241">
        <v>0.08</v>
      </c>
      <c r="Y6" s="241">
        <v>0.08</v>
      </c>
      <c r="Z6" s="102">
        <f>IFERROR((-1.5*T6^4+2.05*T6^3+0.16*T6^2+0.04*T6+0.025)*N6,0)*'Fixed Factors'!$I$13</f>
        <v>53107.653486108349</v>
      </c>
      <c r="AA6" s="102">
        <f>IFERROR((-1.5*U6^4+2.05*U6^3+0.16*U6^2+0.04*U6+0.025)*O6,0)*'Fixed Factors'!$I$14</f>
        <v>212430.6139444334</v>
      </c>
      <c r="AB6" s="102">
        <f>IFERROR((-1.5*V6^4+2.05*V6^3+0.16*V6^2+0.04*V6+0.025)*P6,0)*'Fixed Factors'!$I$15</f>
        <v>33069.627238067063</v>
      </c>
      <c r="AC6" s="103">
        <f>IFERROR((-1.5*(W6)^4+2.05*(W6)^3+0.16*(W6)^2+0.04*W6+0.025)*Q6,0)*'Fixed Factors'!$I$13</f>
        <v>51612.347561906179</v>
      </c>
      <c r="AD6" s="103">
        <f>IFERROR((-1.5*(X6)^4+2.05*(X6)^3+0.16*(X6)^2+0.04*X6+0.025)*R6,0)*'Fixed Factors'!$I$14</f>
        <v>206449.39024762472</v>
      </c>
      <c r="AE6" s="103">
        <f>IFERROR((-1.5*(Y6)^4+2.05*(Y6)^3+0.16*(Y6)^2+0.04*Y6+0.025)*S6,0)*'Fixed Factors'!$I$15</f>
        <v>30834.182834029452</v>
      </c>
      <c r="AF6" s="224">
        <f>H6/$AF$1*'Network Crash Rates'!$D$4+'Network Model Data'!I6/$AF$1*'Network Crash Rates'!$D$5+'Network Model Data'!J6/$AF$1*'Network Crash Rates'!$D$6</f>
        <v>2.7863206115990313</v>
      </c>
      <c r="AG6" s="224">
        <f>H6/'Network Model Data'!$AF$1*'Network Crash Rates'!$E$4+I6/'Network Model Data'!$AF$1*'Network Crash Rates'!$E$5+J6/'Network Model Data'!$AF$1*'Network Crash Rates'!$E$6</f>
        <v>125.38908572256736</v>
      </c>
      <c r="AH6" s="224">
        <f>H6/$AF$1*'Network Crash Rates'!$F$4+I6/$AF$1*'Network Crash Rates'!$F$5+J6/$AF$1*'Network Crash Rates'!$F$6</f>
        <v>454.18710087746638</v>
      </c>
      <c r="AI6" s="224">
        <f>K6/$AF$1*'Network Crash Rates'!$D$7+L6/$AF$1*'Network Crash Rates'!$D$8+M6/$AF$1*'Network Crash Rates'!$D$9</f>
        <v>2.7763830400196876</v>
      </c>
      <c r="AJ6" s="225">
        <f>K6/$AF$1*'Network Crash Rates'!$E$7+L6/$AF$1*'Network Crash Rates'!$E$8+M6/$AF$1*'Network Crash Rates'!$E$9</f>
        <v>124.94187838775838</v>
      </c>
      <c r="AK6" s="225">
        <f>K6/$AF$1*'Network Crash Rates'!$F$7+L6/$AF$1*'Network Crash Rates'!$F$8+M6/$AF$1*'Network Crash Rates'!$F$9</f>
        <v>452.56721664497877</v>
      </c>
      <c r="AL6" s="238">
        <f t="shared" ref="AL6:AL18" si="26">E6-B6</f>
        <v>0</v>
      </c>
      <c r="AM6" s="238">
        <f t="shared" si="0"/>
        <v>0</v>
      </c>
      <c r="AN6" s="238">
        <f t="shared" si="0"/>
        <v>0</v>
      </c>
      <c r="AO6" s="106">
        <f t="shared" ref="AO6:AQ29" si="27">K6-H6</f>
        <v>-205384.73819287121</v>
      </c>
      <c r="AP6" s="106">
        <f t="shared" si="1"/>
        <v>-768129.98041167855</v>
      </c>
      <c r="AQ6" s="106">
        <f t="shared" si="1"/>
        <v>-304465.16557032615</v>
      </c>
      <c r="AR6" s="106">
        <f t="shared" ref="AR6:AT29" si="28">Q6-N6</f>
        <v>-35606.843658295227</v>
      </c>
      <c r="AS6" s="106">
        <f t="shared" si="2"/>
        <v>-142427.37463318091</v>
      </c>
      <c r="AT6" s="106">
        <f t="shared" si="2"/>
        <v>-73991.545259842766</v>
      </c>
      <c r="AU6" s="239">
        <f t="shared" ref="AU6:AW29" si="29">W6-T6</f>
        <v>0</v>
      </c>
      <c r="AV6" s="239">
        <f t="shared" si="3"/>
        <v>0</v>
      </c>
      <c r="AW6" s="239">
        <f t="shared" si="3"/>
        <v>0</v>
      </c>
      <c r="AX6" s="240">
        <f t="shared" ref="AX6:BC29" si="30">H6/B6</f>
        <v>16.675484468147019</v>
      </c>
      <c r="AY6" s="240">
        <f t="shared" si="4"/>
        <v>16.47670850927873</v>
      </c>
      <c r="AZ6" s="240">
        <f t="shared" si="4"/>
        <v>14.75718618854026</v>
      </c>
      <c r="BA6" s="240">
        <f t="shared" si="4"/>
        <v>16.619381846105799</v>
      </c>
      <c r="BB6" s="240">
        <f t="shared" si="5"/>
        <v>16.423918966776036</v>
      </c>
      <c r="BC6" s="240">
        <f t="shared" si="5"/>
        <v>14.679082856034382</v>
      </c>
      <c r="BD6" s="227">
        <f t="shared" ref="BD6:BF29" si="31">BA6-AX6</f>
        <v>-5.6102622041219519E-2</v>
      </c>
      <c r="BE6" s="227">
        <f t="shared" si="6"/>
        <v>-5.2789542502694076E-2</v>
      </c>
      <c r="BF6" s="227">
        <f t="shared" si="6"/>
        <v>-7.8103332505877532E-2</v>
      </c>
      <c r="BG6" s="228">
        <f t="shared" ref="BG6:BL29" si="32">H6/N6</f>
        <v>48.272849229728074</v>
      </c>
      <c r="BH6" s="228">
        <f t="shared" si="7"/>
        <v>47.395460635592308</v>
      </c>
      <c r="BI6" s="228">
        <f t="shared" si="7"/>
        <v>52.556214905366453</v>
      </c>
      <c r="BJ6" s="228">
        <f t="shared" si="7"/>
        <v>49.504290316964756</v>
      </c>
      <c r="BK6" s="228">
        <f t="shared" si="8"/>
        <v>48.612346325666444</v>
      </c>
      <c r="BL6" s="228">
        <f t="shared" si="8"/>
        <v>56.068159645197625</v>
      </c>
      <c r="BM6" s="228">
        <f t="shared" ref="BM6:BO29" si="33">BJ6-BG6</f>
        <v>1.2314410872366821</v>
      </c>
      <c r="BN6" s="228">
        <f t="shared" si="9"/>
        <v>1.2168856900741361</v>
      </c>
      <c r="BO6" s="228">
        <f t="shared" si="9"/>
        <v>3.5119447398311721</v>
      </c>
    </row>
    <row r="7" spans="1:67" x14ac:dyDescent="0.25">
      <c r="A7" s="223">
        <v>2022</v>
      </c>
      <c r="B7" s="103">
        <f t="shared" si="10"/>
        <v>3662525.5870767669</v>
      </c>
      <c r="C7" s="103">
        <f t="shared" si="10"/>
        <v>14556687.797481939</v>
      </c>
      <c r="D7" s="103">
        <f t="shared" si="10"/>
        <v>3973090.8701899052</v>
      </c>
      <c r="E7" s="103">
        <f t="shared" si="10"/>
        <v>3662525.5870767669</v>
      </c>
      <c r="F7" s="103">
        <f t="shared" si="10"/>
        <v>14556687.797481939</v>
      </c>
      <c r="G7" s="103">
        <f t="shared" si="10"/>
        <v>3973090.8701899052</v>
      </c>
      <c r="H7" s="103">
        <f t="shared" si="11"/>
        <v>61056180.571766414</v>
      </c>
      <c r="I7" s="103">
        <f t="shared" si="12"/>
        <v>239803617.59882262</v>
      </c>
      <c r="J7" s="103">
        <f t="shared" si="13"/>
        <v>58577751.065692268</v>
      </c>
      <c r="K7" s="103">
        <f t="shared" si="14"/>
        <v>60845698.968997627</v>
      </c>
      <c r="L7" s="103">
        <f t="shared" si="15"/>
        <v>238999100.66789433</v>
      </c>
      <c r="M7" s="103">
        <f t="shared" si="16"/>
        <v>58273828.615253851</v>
      </c>
      <c r="N7" s="103">
        <f t="shared" si="17"/>
        <v>1264952.2946521952</v>
      </c>
      <c r="O7" s="103">
        <f t="shared" si="18"/>
        <v>5059809.1786087807</v>
      </c>
      <c r="P7" s="103">
        <f t="shared" si="19"/>
        <v>1118252.3627867131</v>
      </c>
      <c r="Q7" s="103">
        <f t="shared" si="20"/>
        <v>1229631.7138513853</v>
      </c>
      <c r="R7" s="103">
        <f t="shared" si="21"/>
        <v>4918526.8554055411</v>
      </c>
      <c r="S7" s="103">
        <f t="shared" si="22"/>
        <v>1041801.9390990367</v>
      </c>
      <c r="T7" s="235">
        <f t="shared" si="23"/>
        <v>0.08</v>
      </c>
      <c r="U7" s="235">
        <f t="shared" si="24"/>
        <v>0.08</v>
      </c>
      <c r="V7" s="235">
        <f t="shared" si="25"/>
        <v>0.08</v>
      </c>
      <c r="W7" s="241">
        <v>0.08</v>
      </c>
      <c r="X7" s="241">
        <v>0.08</v>
      </c>
      <c r="Y7" s="241">
        <v>0.08</v>
      </c>
      <c r="Z7" s="102">
        <f>IFERROR((-1.5*T7^4+2.05*T7^3+0.16*T7^2+0.04*T7+0.025)*N7,0)*'Fixed Factors'!$I$13</f>
        <v>53121.548154574979</v>
      </c>
      <c r="AA7" s="102">
        <f>IFERROR((-1.5*U7^4+2.05*U7^3+0.16*U7^2+0.04*U7+0.025)*O7,0)*'Fixed Factors'!$I$14</f>
        <v>212486.19261829992</v>
      </c>
      <c r="AB7" s="102">
        <f>IFERROR((-1.5*V7^4+2.05*V7^3+0.16*V7^2+0.04*V7+0.025)*P7,0)*'Fixed Factors'!$I$15</f>
        <v>33784.819304890225</v>
      </c>
      <c r="AC7" s="103">
        <f>IFERROR((-1.5*(W7)^4+2.05*(W7)^3+0.16*(W7)^2+0.04*W7+0.025)*Q7,0)*'Fixed Factors'!$I$13</f>
        <v>51638.263811133649</v>
      </c>
      <c r="AD7" s="103">
        <f>IFERROR((-1.5*(X7)^4+2.05*(X7)^3+0.16*(X7)^2+0.04*X7+0.025)*R7,0)*'Fixed Factors'!$I$14</f>
        <v>206553.0552445346</v>
      </c>
      <c r="AE7" s="103">
        <f>IFERROR((-1.5*(Y7)^4+2.05*(Y7)^3+0.16*(Y7)^2+0.04*Y7+0.025)*S7,0)*'Fixed Factors'!$I$15</f>
        <v>31475.086872370357</v>
      </c>
      <c r="AF7" s="224">
        <f>H7/$AF$1*'Network Crash Rates'!$D$4+'Network Model Data'!I7/$AF$1*'Network Crash Rates'!$D$5+'Network Model Data'!J7/$AF$1*'Network Crash Rates'!$D$6</f>
        <v>2.7949863828613228</v>
      </c>
      <c r="AG7" s="224">
        <f>H7/'Network Model Data'!$AF$1*'Network Crash Rates'!$E$4+I7/'Network Model Data'!$AF$1*'Network Crash Rates'!$E$5+J7/'Network Model Data'!$AF$1*'Network Crash Rates'!$E$6</f>
        <v>125.77905991689961</v>
      </c>
      <c r="AH7" s="224">
        <f>H7/$AF$1*'Network Crash Rates'!$F$4+I7/$AF$1*'Network Crash Rates'!$F$5+J7/$AF$1*'Network Crash Rates'!$F$6</f>
        <v>455.59967397120977</v>
      </c>
      <c r="AI7" s="224">
        <f>K7/$AF$1*'Network Crash Rates'!$D$7+L7/$AF$1*'Network Crash Rates'!$D$8+M7/$AF$1*'Network Crash Rates'!$D$9</f>
        <v>2.7847304532886854</v>
      </c>
      <c r="AJ7" s="225">
        <f>K7/$AF$1*'Network Crash Rates'!$E$7+L7/$AF$1*'Network Crash Rates'!$E$8+M7/$AF$1*'Network Crash Rates'!$E$9</f>
        <v>125.31752594015813</v>
      </c>
      <c r="AK7" s="225">
        <f>K7/$AF$1*'Network Crash Rates'!$F$7+L7/$AF$1*'Network Crash Rates'!$F$8+M7/$AF$1*'Network Crash Rates'!$F$9</f>
        <v>453.92789546158372</v>
      </c>
      <c r="AL7" s="238">
        <f t="shared" si="26"/>
        <v>0</v>
      </c>
      <c r="AM7" s="238">
        <f t="shared" si="0"/>
        <v>0</v>
      </c>
      <c r="AN7" s="238">
        <f t="shared" si="0"/>
        <v>0</v>
      </c>
      <c r="AO7" s="106">
        <f t="shared" si="27"/>
        <v>-210481.60276878625</v>
      </c>
      <c r="AP7" s="106">
        <f t="shared" si="1"/>
        <v>-804516.93092828989</v>
      </c>
      <c r="AQ7" s="106">
        <f t="shared" si="1"/>
        <v>-303922.45043841749</v>
      </c>
      <c r="AR7" s="106">
        <f t="shared" si="28"/>
        <v>-35320.580800809897</v>
      </c>
      <c r="AS7" s="106">
        <f t="shared" si="2"/>
        <v>-141282.32320323959</v>
      </c>
      <c r="AT7" s="106">
        <f t="shared" si="2"/>
        <v>-76450.423687676317</v>
      </c>
      <c r="AU7" s="239">
        <f t="shared" si="29"/>
        <v>0</v>
      </c>
      <c r="AV7" s="239">
        <f t="shared" si="3"/>
        <v>0</v>
      </c>
      <c r="AW7" s="239">
        <f t="shared" si="3"/>
        <v>0</v>
      </c>
      <c r="AX7" s="240">
        <f t="shared" si="30"/>
        <v>16.670513043568445</v>
      </c>
      <c r="AY7" s="240">
        <f t="shared" si="4"/>
        <v>16.473776241893749</v>
      </c>
      <c r="AZ7" s="240">
        <f t="shared" si="4"/>
        <v>14.743622277859549</v>
      </c>
      <c r="BA7" s="240">
        <f t="shared" si="4"/>
        <v>16.613044065464518</v>
      </c>
      <c r="BB7" s="240">
        <f t="shared" si="5"/>
        <v>16.41850838548843</v>
      </c>
      <c r="BC7" s="240">
        <f t="shared" si="5"/>
        <v>14.667127060315257</v>
      </c>
      <c r="BD7" s="227">
        <f t="shared" si="31"/>
        <v>-5.7468978103926815E-2</v>
      </c>
      <c r="BE7" s="227">
        <f t="shared" si="6"/>
        <v>-5.5267856405318838E-2</v>
      </c>
      <c r="BF7" s="227">
        <f t="shared" si="6"/>
        <v>-7.6495217544291449E-2</v>
      </c>
      <c r="BG7" s="228">
        <f t="shared" si="32"/>
        <v>48.267575646838218</v>
      </c>
      <c r="BH7" s="228">
        <f t="shared" si="7"/>
        <v>47.393806591093181</v>
      </c>
      <c r="BI7" s="228">
        <f t="shared" si="7"/>
        <v>52.383301851216338</v>
      </c>
      <c r="BJ7" s="228">
        <f t="shared" si="7"/>
        <v>49.48286408327909</v>
      </c>
      <c r="BK7" s="228">
        <f t="shared" si="8"/>
        <v>48.591602260996183</v>
      </c>
      <c r="BL7" s="228">
        <f t="shared" si="8"/>
        <v>55.935611586257728</v>
      </c>
      <c r="BM7" s="228">
        <f t="shared" si="33"/>
        <v>1.215288436440872</v>
      </c>
      <c r="BN7" s="228">
        <f t="shared" si="9"/>
        <v>1.1977956699030017</v>
      </c>
      <c r="BO7" s="228">
        <f t="shared" si="9"/>
        <v>3.5523097350413906</v>
      </c>
    </row>
    <row r="8" spans="1:67" x14ac:dyDescent="0.25">
      <c r="A8" s="223">
        <v>2023</v>
      </c>
      <c r="B8" s="103">
        <f t="shared" si="10"/>
        <v>3664175.9955066149</v>
      </c>
      <c r="C8" s="103">
        <f t="shared" si="10"/>
        <v>14562579.77155198</v>
      </c>
      <c r="D8" s="103">
        <f t="shared" si="10"/>
        <v>4049383.8787848996</v>
      </c>
      <c r="E8" s="103">
        <f t="shared" si="10"/>
        <v>3664175.9955066149</v>
      </c>
      <c r="F8" s="103">
        <f t="shared" si="10"/>
        <v>14562579.77155198</v>
      </c>
      <c r="G8" s="103">
        <f t="shared" si="10"/>
        <v>4049383.8787848996</v>
      </c>
      <c r="H8" s="103">
        <f t="shared" si="11"/>
        <v>61065482.983166181</v>
      </c>
      <c r="I8" s="103">
        <f t="shared" si="12"/>
        <v>239857986.88289484</v>
      </c>
      <c r="J8" s="103">
        <f t="shared" si="13"/>
        <v>59647711.369786337</v>
      </c>
      <c r="K8" s="103">
        <f t="shared" si="14"/>
        <v>60849903.389242634</v>
      </c>
      <c r="L8" s="103">
        <f t="shared" si="15"/>
        <v>239017072.02865309</v>
      </c>
      <c r="M8" s="103">
        <f t="shared" si="16"/>
        <v>59344453.691523343</v>
      </c>
      <c r="N8" s="103">
        <f t="shared" si="17"/>
        <v>1265283.2468145776</v>
      </c>
      <c r="O8" s="103">
        <f t="shared" si="18"/>
        <v>5061132.9872583104</v>
      </c>
      <c r="P8" s="103">
        <f t="shared" si="19"/>
        <v>1142436.6456276968</v>
      </c>
      <c r="Q8" s="103">
        <f t="shared" si="20"/>
        <v>1230249.1521865812</v>
      </c>
      <c r="R8" s="103">
        <f t="shared" si="21"/>
        <v>4920996.6087463247</v>
      </c>
      <c r="S8" s="103">
        <f t="shared" si="22"/>
        <v>1063456.317731801</v>
      </c>
      <c r="T8" s="235">
        <f t="shared" si="23"/>
        <v>0.08</v>
      </c>
      <c r="U8" s="235">
        <f t="shared" si="24"/>
        <v>0.08</v>
      </c>
      <c r="V8" s="235">
        <f t="shared" si="25"/>
        <v>0.08</v>
      </c>
      <c r="W8" s="241">
        <v>0.08</v>
      </c>
      <c r="X8" s="241">
        <v>0.08</v>
      </c>
      <c r="Y8" s="241">
        <v>0.08</v>
      </c>
      <c r="Z8" s="102">
        <f>IFERROR((-1.5*T8^4+2.05*T8^3+0.16*T8^2+0.04*T8+0.025)*N8,0)*'Fixed Factors'!$I$13</f>
        <v>53135.446458333296</v>
      </c>
      <c r="AA8" s="102">
        <f>IFERROR((-1.5*U8^4+2.05*U8^3+0.16*U8^2+0.04*U8+0.025)*O8,0)*'Fixed Factors'!$I$14</f>
        <v>212541.78583333318</v>
      </c>
      <c r="AB8" s="102">
        <f>IFERROR((-1.5*V8^4+2.05*V8^3+0.16*V8^2+0.04*V8+0.025)*P8,0)*'Fixed Factors'!$I$15</f>
        <v>34515.478727567279</v>
      </c>
      <c r="AC8" s="103">
        <f>IFERROR((-1.5*(W8)^4+2.05*(W8)^3+0.16*(W8)^2+0.04*W8+0.025)*Q8,0)*'Fixed Factors'!$I$13</f>
        <v>51664.193073758222</v>
      </c>
      <c r="AD8" s="103">
        <f>IFERROR((-1.5*(X8)^4+2.05*(X8)^3+0.16*(X8)^2+0.04*X8+0.025)*R8,0)*'Fixed Factors'!$I$14</f>
        <v>206656.77229503289</v>
      </c>
      <c r="AE8" s="103">
        <f>IFERROR((-1.5*(Y8)^4+2.05*(Y8)^3+0.16*(Y8)^2+0.04*Y8+0.025)*S8,0)*'Fixed Factors'!$I$15</f>
        <v>32129.312424324009</v>
      </c>
      <c r="AF8" s="224">
        <f>H8/$AF$1*'Network Crash Rates'!$D$4+'Network Model Data'!I8/$AF$1*'Network Crash Rates'!$D$5+'Network Model Data'!J8/$AF$1*'Network Crash Rates'!$D$6</f>
        <v>2.8038015052899494</v>
      </c>
      <c r="AG8" s="224">
        <f>H8/'Network Model Data'!$AF$1*'Network Crash Rates'!$E$4+I8/'Network Model Data'!$AF$1*'Network Crash Rates'!$E$5+J8/'Network Model Data'!$AF$1*'Network Crash Rates'!$E$6</f>
        <v>126.17575516340378</v>
      </c>
      <c r="AH8" s="224">
        <f>H8/$AF$1*'Network Crash Rates'!$F$4+I8/$AF$1*'Network Crash Rates'!$F$5+J8/$AF$1*'Network Crash Rates'!$F$6</f>
        <v>457.03659220777985</v>
      </c>
      <c r="AI8" s="224">
        <f>K8/$AF$1*'Network Crash Rates'!$D$7+L8/$AF$1*'Network Crash Rates'!$D$8+M8/$AF$1*'Network Crash Rates'!$D$9</f>
        <v>2.7932280727548422</v>
      </c>
      <c r="AJ8" s="225">
        <f>K8/$AF$1*'Network Crash Rates'!$E$7+L8/$AF$1*'Network Crash Rates'!$E$8+M8/$AF$1*'Network Crash Rates'!$E$9</f>
        <v>125.69993302254633</v>
      </c>
      <c r="AK8" s="225">
        <f>K8/$AF$1*'Network Crash Rates'!$F$7+L8/$AF$1*'Network Crash Rates'!$F$8+M8/$AF$1*'Network Crash Rates'!$F$9</f>
        <v>455.31305879620754</v>
      </c>
      <c r="AL8" s="238">
        <f t="shared" si="26"/>
        <v>0</v>
      </c>
      <c r="AM8" s="238">
        <f t="shared" si="0"/>
        <v>0</v>
      </c>
      <c r="AN8" s="238">
        <f t="shared" si="0"/>
        <v>0</v>
      </c>
      <c r="AO8" s="106">
        <f t="shared" si="27"/>
        <v>-215579.59392354637</v>
      </c>
      <c r="AP8" s="106">
        <f t="shared" si="1"/>
        <v>-840914.85424175858</v>
      </c>
      <c r="AQ8" s="106">
        <f t="shared" si="1"/>
        <v>-303257.67826299369</v>
      </c>
      <c r="AR8" s="106">
        <f t="shared" si="28"/>
        <v>-35034.094627996441</v>
      </c>
      <c r="AS8" s="106">
        <f t="shared" si="2"/>
        <v>-140136.37851198576</v>
      </c>
      <c r="AT8" s="106">
        <f t="shared" si="2"/>
        <v>-78980.327895895811</v>
      </c>
      <c r="AU8" s="239">
        <f t="shared" si="29"/>
        <v>0</v>
      </c>
      <c r="AV8" s="239">
        <f t="shared" si="3"/>
        <v>0</v>
      </c>
      <c r="AW8" s="239">
        <f t="shared" si="3"/>
        <v>0</v>
      </c>
      <c r="AX8" s="240">
        <f t="shared" si="30"/>
        <v>16.665543101109467</v>
      </c>
      <c r="AY8" s="240">
        <f t="shared" si="4"/>
        <v>16.470844496347944</v>
      </c>
      <c r="AZ8" s="240">
        <f t="shared" si="4"/>
        <v>14.730070834303033</v>
      </c>
      <c r="BA8" s="240">
        <f t="shared" si="4"/>
        <v>16.606708701728021</v>
      </c>
      <c r="BB8" s="240">
        <f t="shared" si="5"/>
        <v>16.41309958662498</v>
      </c>
      <c r="BC8" s="240">
        <f t="shared" si="5"/>
        <v>14.655181002333338</v>
      </c>
      <c r="BD8" s="227">
        <f t="shared" si="31"/>
        <v>-5.883439938144619E-2</v>
      </c>
      <c r="BE8" s="227">
        <f t="shared" si="6"/>
        <v>-5.77449097229632E-2</v>
      </c>
      <c r="BF8" s="227">
        <f t="shared" si="6"/>
        <v>-7.4889831969695564E-2</v>
      </c>
      <c r="BG8" s="228">
        <f t="shared" si="32"/>
        <v>48.262302640062607</v>
      </c>
      <c r="BH8" s="228">
        <f t="shared" si="7"/>
        <v>47.392152604318234</v>
      </c>
      <c r="BI8" s="228">
        <f t="shared" si="7"/>
        <v>52.210957691236949</v>
      </c>
      <c r="BJ8" s="228">
        <f t="shared" si="7"/>
        <v>49.461447123203591</v>
      </c>
      <c r="BK8" s="228">
        <f t="shared" si="8"/>
        <v>48.570867048320359</v>
      </c>
      <c r="BL8" s="228">
        <f t="shared" si="8"/>
        <v>55.80337687785476</v>
      </c>
      <c r="BM8" s="228">
        <f t="shared" si="33"/>
        <v>1.1991444831409837</v>
      </c>
      <c r="BN8" s="228">
        <f t="shared" si="9"/>
        <v>1.1787144440021251</v>
      </c>
      <c r="BO8" s="228">
        <f t="shared" si="9"/>
        <v>3.5924191866178106</v>
      </c>
    </row>
    <row r="9" spans="1:67" x14ac:dyDescent="0.25">
      <c r="A9" s="223">
        <v>2024</v>
      </c>
      <c r="B9" s="103">
        <f t="shared" si="10"/>
        <v>3665827.1476440285</v>
      </c>
      <c r="C9" s="103">
        <f t="shared" si="10"/>
        <v>14568474.130461138</v>
      </c>
      <c r="D9" s="103">
        <f t="shared" si="10"/>
        <v>4127141.8987150602</v>
      </c>
      <c r="E9" s="103">
        <f t="shared" si="10"/>
        <v>3665827.1476440285</v>
      </c>
      <c r="F9" s="103">
        <f t="shared" si="10"/>
        <v>14568474.130461138</v>
      </c>
      <c r="G9" s="103">
        <f t="shared" si="10"/>
        <v>4127141.8987150602</v>
      </c>
      <c r="H9" s="103">
        <f t="shared" si="11"/>
        <v>61074786.811864853</v>
      </c>
      <c r="I9" s="103">
        <f t="shared" si="12"/>
        <v>239912368.49379966</v>
      </c>
      <c r="J9" s="103">
        <f t="shared" si="13"/>
        <v>60737215.187100179</v>
      </c>
      <c r="K9" s="103">
        <f t="shared" si="14"/>
        <v>60854108.100011863</v>
      </c>
      <c r="L9" s="103">
        <f t="shared" si="15"/>
        <v>239035044.74075502</v>
      </c>
      <c r="M9" s="103">
        <f t="shared" si="16"/>
        <v>60434748.627851374</v>
      </c>
      <c r="N9" s="103">
        <f t="shared" si="17"/>
        <v>1265614.2855646792</v>
      </c>
      <c r="O9" s="103">
        <f t="shared" si="18"/>
        <v>5062457.1422587167</v>
      </c>
      <c r="P9" s="103">
        <f t="shared" si="19"/>
        <v>1167143.9584715639</v>
      </c>
      <c r="Q9" s="103">
        <f t="shared" si="20"/>
        <v>1230866.9005577767</v>
      </c>
      <c r="R9" s="103">
        <f t="shared" si="21"/>
        <v>4923467.6022311067</v>
      </c>
      <c r="S9" s="103">
        <f t="shared" si="22"/>
        <v>1085560.7935436668</v>
      </c>
      <c r="T9" s="235">
        <f t="shared" si="23"/>
        <v>0.08</v>
      </c>
      <c r="U9" s="235">
        <f t="shared" si="24"/>
        <v>0.08</v>
      </c>
      <c r="V9" s="235">
        <f t="shared" si="25"/>
        <v>0.08</v>
      </c>
      <c r="W9" s="241">
        <v>0.08</v>
      </c>
      <c r="X9" s="241">
        <v>0.08</v>
      </c>
      <c r="Y9" s="241">
        <v>0.08</v>
      </c>
      <c r="Z9" s="102">
        <f>IFERROR((-1.5*T9^4+2.05*T9^3+0.16*T9^2+0.04*T9+0.025)*N9,0)*'Fixed Factors'!$I$13</f>
        <v>53149.348398334434</v>
      </c>
      <c r="AA9" s="102">
        <f>IFERROR((-1.5*U9^4+2.05*U9^3+0.16*U9^2+0.04*U9+0.025)*O9,0)*'Fixed Factors'!$I$14</f>
        <v>212597.39359333774</v>
      </c>
      <c r="AB9" s="102">
        <f>IFERROR((-1.5*V9^4+2.05*V9^3+0.16*V9^2+0.04*V9+0.025)*P9,0)*'Fixed Factors'!$I$15</f>
        <v>35261.940016376248</v>
      </c>
      <c r="AC9" s="103">
        <f>IFERROR((-1.5*(W9)^4+2.05*(W9)^3+0.16*(W9)^2+0.04*W9+0.025)*Q9,0)*'Fixed Factors'!$I$13</f>
        <v>51690.135356314335</v>
      </c>
      <c r="AD9" s="103">
        <f>IFERROR((-1.5*(X9)^4+2.05*(X9)^3+0.16*(X9)^2+0.04*X9+0.025)*R9,0)*'Fixed Factors'!$I$14</f>
        <v>206760.54142525734</v>
      </c>
      <c r="AE9" s="103">
        <f>IFERROR((-1.5*(Y9)^4+2.05*(Y9)^3+0.16*(Y9)^2+0.04*Y9+0.025)*S9,0)*'Fixed Factors'!$I$15</f>
        <v>32797.136384268233</v>
      </c>
      <c r="AF9" s="224">
        <f>H9/$AF$1*'Network Crash Rates'!$D$4+'Network Model Data'!I9/$AF$1*'Network Crash Rates'!$D$5+'Network Model Data'!J9/$AF$1*'Network Crash Rates'!$D$6</f>
        <v>2.812768704951738</v>
      </c>
      <c r="AG9" s="224">
        <f>H9/'Network Model Data'!$AF$1*'Network Crash Rates'!$E$4+I9/'Network Model Data'!$AF$1*'Network Crash Rates'!$E$5+J9/'Network Model Data'!$AF$1*'Network Crash Rates'!$E$6</f>
        <v>126.57929413964462</v>
      </c>
      <c r="AH9" s="224">
        <f>H9/$AF$1*'Network Crash Rates'!$F$4+I9/$AF$1*'Network Crash Rates'!$F$5+J9/$AF$1*'Network Crash Rates'!$F$6</f>
        <v>458.49829995254652</v>
      </c>
      <c r="AI9" s="224">
        <f>K9/$AF$1*'Network Crash Rates'!$D$7+L9/$AF$1*'Network Crash Rates'!$D$8+M9/$AF$1*'Network Crash Rates'!$D$9</f>
        <v>2.8018786578199757</v>
      </c>
      <c r="AJ9" s="225">
        <f>K9/$AF$1*'Network Crash Rates'!$E$7+L9/$AF$1*'Network Crash Rates'!$E$8+M9/$AF$1*'Network Crash Rates'!$E$9</f>
        <v>126.08922381261799</v>
      </c>
      <c r="AK9" s="225">
        <f>K9/$AF$1*'Network Crash Rates'!$F$7+L9/$AF$1*'Network Crash Rates'!$F$8+M9/$AF$1*'Network Crash Rates'!$F$9</f>
        <v>456.72315644802507</v>
      </c>
      <c r="AL9" s="238">
        <f t="shared" si="26"/>
        <v>0</v>
      </c>
      <c r="AM9" s="238">
        <f t="shared" si="0"/>
        <v>0</v>
      </c>
      <c r="AN9" s="238">
        <f t="shared" si="0"/>
        <v>0</v>
      </c>
      <c r="AO9" s="106">
        <f t="shared" si="27"/>
        <v>-220678.71185299009</v>
      </c>
      <c r="AP9" s="106">
        <f t="shared" si="1"/>
        <v>-877323.75304463506</v>
      </c>
      <c r="AQ9" s="106">
        <f t="shared" si="1"/>
        <v>-302466.55924880505</v>
      </c>
      <c r="AR9" s="106">
        <f t="shared" si="28"/>
        <v>-34747.385006902507</v>
      </c>
      <c r="AS9" s="106">
        <f t="shared" si="2"/>
        <v>-138989.54002761003</v>
      </c>
      <c r="AT9" s="106">
        <f t="shared" si="2"/>
        <v>-81583.164927897044</v>
      </c>
      <c r="AU9" s="239">
        <f t="shared" si="29"/>
        <v>0</v>
      </c>
      <c r="AV9" s="239">
        <f t="shared" si="3"/>
        <v>0</v>
      </c>
      <c r="AW9" s="239">
        <f t="shared" si="3"/>
        <v>0</v>
      </c>
      <c r="AX9" s="240">
        <f t="shared" si="30"/>
        <v>16.660574640328225</v>
      </c>
      <c r="AY9" s="240">
        <f t="shared" si="4"/>
        <v>16.467913272548447</v>
      </c>
      <c r="AZ9" s="240">
        <f t="shared" si="4"/>
        <v>14.716531846411687</v>
      </c>
      <c r="BA9" s="240">
        <f t="shared" si="4"/>
        <v>16.600375753974618</v>
      </c>
      <c r="BB9" s="240">
        <f t="shared" si="5"/>
        <v>16.407692569598488</v>
      </c>
      <c r="BC9" s="240">
        <f t="shared" si="5"/>
        <v>14.643244674157451</v>
      </c>
      <c r="BD9" s="227">
        <f t="shared" si="31"/>
        <v>-6.0198886353607151E-2</v>
      </c>
      <c r="BE9" s="227">
        <f t="shared" si="6"/>
        <v>-6.0220702949958849E-2</v>
      </c>
      <c r="BF9" s="227">
        <f t="shared" si="6"/>
        <v>-7.328717225423631E-2</v>
      </c>
      <c r="BG9" s="228">
        <f t="shared" si="32"/>
        <v>48.257030209338318</v>
      </c>
      <c r="BH9" s="228">
        <f t="shared" si="7"/>
        <v>47.390498675265412</v>
      </c>
      <c r="BI9" s="228">
        <f t="shared" si="7"/>
        <v>52.039180553732841</v>
      </c>
      <c r="BJ9" s="228">
        <f t="shared" si="7"/>
        <v>49.440039432724497</v>
      </c>
      <c r="BK9" s="228">
        <f t="shared" si="8"/>
        <v>48.550140683861606</v>
      </c>
      <c r="BL9" s="228">
        <f t="shared" si="8"/>
        <v>55.671454779211665</v>
      </c>
      <c r="BM9" s="228">
        <f t="shared" si="33"/>
        <v>1.1830092233861791</v>
      </c>
      <c r="BN9" s="228">
        <f t="shared" si="9"/>
        <v>1.1596420085961938</v>
      </c>
      <c r="BO9" s="228">
        <f t="shared" si="9"/>
        <v>3.6322742254788238</v>
      </c>
    </row>
    <row r="10" spans="1:67" x14ac:dyDescent="0.25">
      <c r="A10" s="203">
        <v>2025</v>
      </c>
      <c r="B10" s="103">
        <f t="shared" si="10"/>
        <v>3667479.0438241358</v>
      </c>
      <c r="C10" s="103">
        <f t="shared" si="10"/>
        <v>14574370.875174696</v>
      </c>
      <c r="D10" s="103">
        <f t="shared" si="10"/>
        <v>4206393.0617614212</v>
      </c>
      <c r="E10" s="103">
        <f t="shared" si="10"/>
        <v>3667479.0438241358</v>
      </c>
      <c r="F10" s="103">
        <f t="shared" si="10"/>
        <v>14574370.875174696</v>
      </c>
      <c r="G10" s="103">
        <f t="shared" si="10"/>
        <v>4206393.0617614212</v>
      </c>
      <c r="H10" s="103">
        <f t="shared" si="11"/>
        <v>61084092.058078371</v>
      </c>
      <c r="I10" s="103">
        <f t="shared" si="12"/>
        <v>239966762.43433186</v>
      </c>
      <c r="J10" s="103">
        <f t="shared" si="13"/>
        <v>61846619.49247437</v>
      </c>
      <c r="K10" s="103">
        <f t="shared" si="14"/>
        <v>60858313.101325393</v>
      </c>
      <c r="L10" s="103">
        <f t="shared" si="15"/>
        <v>239053018.80430177</v>
      </c>
      <c r="M10" s="103">
        <f t="shared" si="16"/>
        <v>61545074.805082925</v>
      </c>
      <c r="N10" s="103">
        <f t="shared" si="17"/>
        <v>1265945.4109251539</v>
      </c>
      <c r="O10" s="103">
        <f t="shared" si="18"/>
        <v>5063781.6437006155</v>
      </c>
      <c r="P10" s="103">
        <f t="shared" si="19"/>
        <v>1192385.6128128795</v>
      </c>
      <c r="Q10" s="103">
        <f t="shared" si="20"/>
        <v>1231484.9591206512</v>
      </c>
      <c r="R10" s="103">
        <f t="shared" si="21"/>
        <v>4925939.836482605</v>
      </c>
      <c r="S10" s="103">
        <f t="shared" si="22"/>
        <v>1108124.7220314636</v>
      </c>
      <c r="T10" s="235">
        <f t="shared" si="23"/>
        <v>0.08</v>
      </c>
      <c r="U10" s="235">
        <f t="shared" si="24"/>
        <v>0.08</v>
      </c>
      <c r="V10" s="235">
        <f t="shared" si="25"/>
        <v>0.08</v>
      </c>
      <c r="W10" s="241">
        <v>0.08</v>
      </c>
      <c r="X10" s="241">
        <v>0.08</v>
      </c>
      <c r="Y10" s="241">
        <v>0.08</v>
      </c>
      <c r="Z10" s="102">
        <f>IFERROR((-1.5*T10^4+2.05*T10^3+0.16*T10^2+0.04*T10+0.025)*N10,0)*'Fixed Factors'!$I$13</f>
        <v>53163.253975529726</v>
      </c>
      <c r="AA10" s="102">
        <f>IFERROR((-1.5*U10^4+2.05*U10^3+0.16*U10^2+0.04*U10+0.025)*O10,0)*'Fixed Factors'!$I$14</f>
        <v>212653.0159021189</v>
      </c>
      <c r="AB10" s="102">
        <f>IFERROR((-1.5*V10^4+2.05*V10^3+0.16*V10^2+0.04*V10+0.025)*P10,0)*'Fixed Factors'!$I$15</f>
        <v>36024.54491600077</v>
      </c>
      <c r="AC10" s="103">
        <f>IFERROR((-1.5*(W10)^4+2.05*(W10)^3+0.16*(W10)^2+0.04*W10+0.025)*Q10,0)*'Fixed Factors'!$I$13</f>
        <v>51716.09066533974</v>
      </c>
      <c r="AD10" s="103">
        <f>IFERROR((-1.5*(X10)^4+2.05*(X10)^3+0.16*(X10)^2+0.04*X10+0.025)*R10,0)*'Fixed Factors'!$I$14</f>
        <v>206864.36266135896</v>
      </c>
      <c r="AE10" s="103">
        <f>IFERROR((-1.5*(Y10)^4+2.05*(Y10)^3+0.16*(Y10)^2+0.04*Y10+0.025)*S10,0)*'Fixed Factors'!$I$15</f>
        <v>33478.841401970109</v>
      </c>
      <c r="AF10" s="224">
        <f>H10/$AF$1*'Network Crash Rates'!$D$4+'Network Model Data'!I10/$AF$1*'Network Crash Rates'!$D$5+'Network Model Data'!J10/$AF$1*'Network Crash Rates'!$D$6</f>
        <v>2.8218907577064627</v>
      </c>
      <c r="AG10" s="224">
        <f>H10/'Network Model Data'!$AF$1*'Network Crash Rates'!$E$4+I10/'Network Model Data'!$AF$1*'Network Crash Rates'!$E$5+J10/'Network Model Data'!$AF$1*'Network Crash Rates'!$E$6</f>
        <v>126.98980176395264</v>
      </c>
      <c r="AH10" s="224">
        <f>H10/$AF$1*'Network Crash Rates'!$F$4+I10/$AF$1*'Network Crash Rates'!$F$5+J10/$AF$1*'Network Crash Rates'!$F$6</f>
        <v>459.98524968743072</v>
      </c>
      <c r="AI10" s="224">
        <f>K10/$AF$1*'Network Crash Rates'!$D$7+L10/$AF$1*'Network Crash Rates'!$D$8+M10/$AF$1*'Network Crash Rates'!$D$9</f>
        <v>2.8106850185824812</v>
      </c>
      <c r="AJ10" s="225">
        <f>K10/$AF$1*'Network Crash Rates'!$E$7+L10/$AF$1*'Network Crash Rates'!$E$8+M10/$AF$1*'Network Crash Rates'!$E$9</f>
        <v>126.48552476949891</v>
      </c>
      <c r="AK10" s="225">
        <f>K10/$AF$1*'Network Crash Rates'!$F$7+L10/$AF$1*'Network Crash Rates'!$F$8+M10/$AF$1*'Network Crash Rates'!$F$9</f>
        <v>458.15864648005993</v>
      </c>
      <c r="AL10" s="238">
        <f t="shared" si="26"/>
        <v>0</v>
      </c>
      <c r="AM10" s="238">
        <f t="shared" si="0"/>
        <v>0</v>
      </c>
      <c r="AN10" s="238">
        <f t="shared" si="0"/>
        <v>0</v>
      </c>
      <c r="AO10" s="106">
        <f t="shared" si="27"/>
        <v>-225778.95675297827</v>
      </c>
      <c r="AP10" s="106">
        <f t="shared" si="1"/>
        <v>-913743.63003009558</v>
      </c>
      <c r="AQ10" s="106">
        <f t="shared" si="1"/>
        <v>-301544.68739144504</v>
      </c>
      <c r="AR10" s="106">
        <f t="shared" si="28"/>
        <v>-34460.451804502634</v>
      </c>
      <c r="AS10" s="106">
        <f t="shared" si="2"/>
        <v>-137841.80721801054</v>
      </c>
      <c r="AT10" s="106">
        <f t="shared" si="2"/>
        <v>-84260.890781415859</v>
      </c>
      <c r="AU10" s="239">
        <f t="shared" si="29"/>
        <v>0</v>
      </c>
      <c r="AV10" s="239">
        <f t="shared" si="3"/>
        <v>0</v>
      </c>
      <c r="AW10" s="239">
        <f t="shared" si="3"/>
        <v>0</v>
      </c>
      <c r="AX10" s="240">
        <f t="shared" si="30"/>
        <v>16.655607660782994</v>
      </c>
      <c r="AY10" s="240">
        <f t="shared" si="4"/>
        <v>16.464982570402409</v>
      </c>
      <c r="AZ10" s="240">
        <f t="shared" si="4"/>
        <v>14.703005302737017</v>
      </c>
      <c r="BA10" s="240">
        <f t="shared" si="4"/>
        <v>16.594045221282986</v>
      </c>
      <c r="BB10" s="240">
        <f t="shared" si="5"/>
        <v>16.402287333821974</v>
      </c>
      <c r="BC10" s="240">
        <f t="shared" si="5"/>
        <v>14.631318067862876</v>
      </c>
      <c r="BD10" s="227">
        <f t="shared" si="31"/>
        <v>-6.1562439500008281E-2</v>
      </c>
      <c r="BE10" s="227">
        <f t="shared" si="6"/>
        <v>-6.2695236580434965E-2</v>
      </c>
      <c r="BF10" s="227">
        <f t="shared" si="6"/>
        <v>-7.1687234874140415E-2</v>
      </c>
      <c r="BG10" s="228">
        <f t="shared" si="32"/>
        <v>48.251758354602408</v>
      </c>
      <c r="BH10" s="228">
        <f t="shared" si="7"/>
        <v>47.388844803932734</v>
      </c>
      <c r="BI10" s="228">
        <f t="shared" si="7"/>
        <v>51.86796857316655</v>
      </c>
      <c r="BJ10" s="228">
        <f t="shared" si="7"/>
        <v>49.418641007829777</v>
      </c>
      <c r="BK10" s="228">
        <f t="shared" si="8"/>
        <v>48.529423163844186</v>
      </c>
      <c r="BL10" s="228">
        <f t="shared" si="8"/>
        <v>55.539844551302629</v>
      </c>
      <c r="BM10" s="228">
        <f t="shared" si="33"/>
        <v>1.1668826532273684</v>
      </c>
      <c r="BN10" s="228">
        <f t="shared" si="9"/>
        <v>1.1405783599114514</v>
      </c>
      <c r="BO10" s="228">
        <f t="shared" si="9"/>
        <v>3.6718759781360788</v>
      </c>
    </row>
    <row r="11" spans="1:67" x14ac:dyDescent="0.25">
      <c r="A11" s="203">
        <v>2026</v>
      </c>
      <c r="B11" s="103">
        <f t="shared" si="10"/>
        <v>3669131.6843822189</v>
      </c>
      <c r="C11" s="103">
        <f t="shared" si="10"/>
        <v>14580270.006658338</v>
      </c>
      <c r="D11" s="103">
        <f t="shared" si="10"/>
        <v>4287166.039903638</v>
      </c>
      <c r="E11" s="103">
        <f t="shared" si="10"/>
        <v>3669131.6843822189</v>
      </c>
      <c r="F11" s="103">
        <f t="shared" si="10"/>
        <v>14580270.006658338</v>
      </c>
      <c r="G11" s="103">
        <f t="shared" si="10"/>
        <v>4287166.039903638</v>
      </c>
      <c r="H11" s="103">
        <f t="shared" si="11"/>
        <v>61093398.722022697</v>
      </c>
      <c r="I11" s="103">
        <f t="shared" si="12"/>
        <v>240021168.70728686</v>
      </c>
      <c r="J11" s="103">
        <f t="shared" si="13"/>
        <v>62976287.781124569</v>
      </c>
      <c r="K11" s="103">
        <f t="shared" si="14"/>
        <v>60862518.393203303</v>
      </c>
      <c r="L11" s="103">
        <f t="shared" si="15"/>
        <v>239070994.21939492</v>
      </c>
      <c r="M11" s="103">
        <f t="shared" si="16"/>
        <v>62675800.243465327</v>
      </c>
      <c r="N11" s="103">
        <f t="shared" si="17"/>
        <v>1266276.6229186617</v>
      </c>
      <c r="O11" s="103">
        <f t="shared" si="18"/>
        <v>5065106.4916746467</v>
      </c>
      <c r="P11" s="103">
        <f t="shared" si="19"/>
        <v>1218173.1647782729</v>
      </c>
      <c r="Q11" s="103">
        <f t="shared" si="20"/>
        <v>1232103.3280309623</v>
      </c>
      <c r="R11" s="103">
        <f t="shared" si="21"/>
        <v>4928413.3121238491</v>
      </c>
      <c r="S11" s="103">
        <f t="shared" si="22"/>
        <v>1131157.6531507394</v>
      </c>
      <c r="T11" s="235">
        <f t="shared" si="23"/>
        <v>0.08</v>
      </c>
      <c r="U11" s="235">
        <f t="shared" si="24"/>
        <v>0.08</v>
      </c>
      <c r="V11" s="235">
        <f t="shared" si="25"/>
        <v>0.08</v>
      </c>
      <c r="W11" s="241">
        <v>0.08</v>
      </c>
      <c r="X11" s="241">
        <v>0.08</v>
      </c>
      <c r="Y11" s="241">
        <v>0.08</v>
      </c>
      <c r="Z11" s="102">
        <f>IFERROR((-1.5*T11^4+2.05*T11^3+0.16*T11^2+0.04*T11+0.025)*N11,0)*'Fixed Factors'!$I$13</f>
        <v>53177.1631908708</v>
      </c>
      <c r="AA11" s="102">
        <f>IFERROR((-1.5*U11^4+2.05*U11^3+0.16*U11^2+0.04*U11+0.025)*O11,0)*'Fixed Factors'!$I$14</f>
        <v>212708.6527634832</v>
      </c>
      <c r="AB11" s="102">
        <f>IFERROR((-1.5*V11^4+2.05*V11^3+0.16*V11^2+0.04*V11+0.025)*P11,0)*'Fixed Factors'!$I$15</f>
        <v>36803.642561987544</v>
      </c>
      <c r="AC11" s="103">
        <f>IFERROR((-1.5*(W11)^4+2.05*(W11)^3+0.16*(W11)^2+0.04*W11+0.025)*Q11,0)*'Fixed Factors'!$I$13</f>
        <v>51742.059007375436</v>
      </c>
      <c r="AD11" s="103">
        <f>IFERROR((-1.5*(X11)^4+2.05*(X11)^3+0.16*(X11)^2+0.04*X11+0.025)*R11,0)*'Fixed Factors'!$I$14</f>
        <v>206968.23602950174</v>
      </c>
      <c r="AE11" s="103">
        <f>IFERROR((-1.5*(Y11)^4+2.05*(Y11)^3+0.16*(Y11)^2+0.04*Y11+0.025)*S11,0)*'Fixed Factors'!$I$15</f>
        <v>34174.716002214642</v>
      </c>
      <c r="AF11" s="224">
        <f>H11/$AF$1*'Network Crash Rates'!$D$4+'Network Model Data'!I11/$AF$1*'Network Crash Rates'!$D$5+'Network Model Data'!J11/$AF$1*'Network Crash Rates'!$D$6</f>
        <v>2.8311704901163357</v>
      </c>
      <c r="AG11" s="224">
        <f>H11/'Network Model Data'!$AF$1*'Network Crash Rates'!$E$4+I11/'Network Model Data'!$AF$1*'Network Crash Rates'!$E$5+J11/'Network Model Data'!$AF$1*'Network Crash Rates'!$E$6</f>
        <v>127.40740523635284</v>
      </c>
      <c r="AH11" s="224">
        <f>H11/$AF$1*'Network Crash Rates'!$F$4+I11/$AF$1*'Network Crash Rates'!$F$5+J11/$AF$1*'Network Crash Rates'!$F$6</f>
        <v>461.4979021591576</v>
      </c>
      <c r="AI11" s="224">
        <f>K11/$AF$1*'Network Crash Rates'!$D$7+L11/$AF$1*'Network Crash Rates'!$D$8+M11/$AF$1*'Network Crash Rates'!$D$9</f>
        <v>2.8196500167687502</v>
      </c>
      <c r="AJ11" s="225">
        <f>K11/$AF$1*'Network Crash Rates'!$E$7+L11/$AF$1*'Network Crash Rates'!$E$8+M11/$AF$1*'Network Crash Rates'!$E$9</f>
        <v>126.88896467566087</v>
      </c>
      <c r="AK11" s="225">
        <f>K11/$AF$1*'Network Crash Rates'!$F$7+L11/$AF$1*'Network Crash Rates'!$F$8+M11/$AF$1*'Network Crash Rates'!$F$9</f>
        <v>459.61999537101053</v>
      </c>
      <c r="AL11" s="238">
        <f t="shared" si="26"/>
        <v>0</v>
      </c>
      <c r="AM11" s="238">
        <f t="shared" si="0"/>
        <v>0</v>
      </c>
      <c r="AN11" s="238">
        <f t="shared" si="0"/>
        <v>0</v>
      </c>
      <c r="AO11" s="106">
        <f t="shared" si="27"/>
        <v>-230880.32881939411</v>
      </c>
      <c r="AP11" s="106">
        <f t="shared" si="1"/>
        <v>-950174.48789194226</v>
      </c>
      <c r="AQ11" s="106">
        <f t="shared" si="1"/>
        <v>-300487.53765924275</v>
      </c>
      <c r="AR11" s="106">
        <f t="shared" si="28"/>
        <v>-34173.29488769942</v>
      </c>
      <c r="AS11" s="106">
        <f t="shared" si="2"/>
        <v>-136693.17955079768</v>
      </c>
      <c r="AT11" s="106">
        <f t="shared" si="2"/>
        <v>-87015.511627533473</v>
      </c>
      <c r="AU11" s="239">
        <f t="shared" si="29"/>
        <v>0</v>
      </c>
      <c r="AV11" s="239">
        <f t="shared" si="3"/>
        <v>0</v>
      </c>
      <c r="AW11" s="239">
        <f t="shared" si="3"/>
        <v>0</v>
      </c>
      <c r="AX11" s="240">
        <f t="shared" si="30"/>
        <v>16.650642162032174</v>
      </c>
      <c r="AY11" s="240">
        <f t="shared" si="4"/>
        <v>16.462052389816989</v>
      </c>
      <c r="AZ11" s="240">
        <f t="shared" si="4"/>
        <v>14.689491191841052</v>
      </c>
      <c r="BA11" s="240">
        <f t="shared" si="4"/>
        <v>16.587717102732135</v>
      </c>
      <c r="BB11" s="240">
        <f t="shared" si="5"/>
        <v>16.396883878708621</v>
      </c>
      <c r="BC11" s="240">
        <f t="shared" si="5"/>
        <v>14.619401175531349</v>
      </c>
      <c r="BD11" s="227">
        <f t="shared" si="31"/>
        <v>-6.2925059300038555E-2</v>
      </c>
      <c r="BE11" s="227">
        <f t="shared" si="6"/>
        <v>-6.5168511108367966E-2</v>
      </c>
      <c r="BF11" s="227">
        <f t="shared" si="6"/>
        <v>-7.0090016309702463E-2</v>
      </c>
      <c r="BG11" s="228">
        <f t="shared" si="32"/>
        <v>48.246487075791961</v>
      </c>
      <c r="BH11" s="228">
        <f t="shared" si="7"/>
        <v>47.387190990318167</v>
      </c>
      <c r="BI11" s="228">
        <f t="shared" si="7"/>
        <v>51.697319890138338</v>
      </c>
      <c r="BJ11" s="228">
        <f t="shared" si="7"/>
        <v>49.397251844509142</v>
      </c>
      <c r="BK11" s="228">
        <f t="shared" si="8"/>
        <v>48.508714484493943</v>
      </c>
      <c r="BL11" s="228">
        <f t="shared" si="8"/>
        <v>55.408545456848955</v>
      </c>
      <c r="BM11" s="228">
        <f t="shared" si="33"/>
        <v>1.1507647687171811</v>
      </c>
      <c r="BN11" s="228">
        <f t="shared" si="9"/>
        <v>1.1215234941757757</v>
      </c>
      <c r="BO11" s="228">
        <f t="shared" si="9"/>
        <v>3.7112255667106169</v>
      </c>
    </row>
    <row r="12" spans="1:67" x14ac:dyDescent="0.25">
      <c r="A12" s="203">
        <v>2027</v>
      </c>
      <c r="B12" s="103">
        <f t="shared" si="10"/>
        <v>3670785.069653709</v>
      </c>
      <c r="C12" s="103">
        <f t="shared" si="10"/>
        <v>14586171.525878137</v>
      </c>
      <c r="D12" s="103">
        <f t="shared" si="10"/>
        <v>4369490.0556931132</v>
      </c>
      <c r="E12" s="103">
        <f t="shared" si="10"/>
        <v>3670785.069653709</v>
      </c>
      <c r="F12" s="103">
        <f t="shared" si="10"/>
        <v>14586171.525878137</v>
      </c>
      <c r="G12" s="103">
        <f t="shared" si="10"/>
        <v>4369490.0556931132</v>
      </c>
      <c r="H12" s="103">
        <f t="shared" si="11"/>
        <v>61102706.803913839</v>
      </c>
      <c r="I12" s="103">
        <f t="shared" si="12"/>
        <v>240075587.31546074</v>
      </c>
      <c r="J12" s="103">
        <f t="shared" si="13"/>
        <v>64126590.187740378</v>
      </c>
      <c r="K12" s="103">
        <f t="shared" si="14"/>
        <v>60866723.975665666</v>
      </c>
      <c r="L12" s="103">
        <f t="shared" si="15"/>
        <v>239088970.98613614</v>
      </c>
      <c r="M12" s="103">
        <f t="shared" si="16"/>
        <v>63827299.724629447</v>
      </c>
      <c r="N12" s="103">
        <f t="shared" si="17"/>
        <v>1266607.9215678684</v>
      </c>
      <c r="O12" s="103">
        <f t="shared" si="18"/>
        <v>5066431.6862714738</v>
      </c>
      <c r="P12" s="103">
        <f t="shared" si="19"/>
        <v>1244518.4204170601</v>
      </c>
      <c r="Q12" s="103">
        <f t="shared" si="20"/>
        <v>1232722.0074445452</v>
      </c>
      <c r="R12" s="103">
        <f t="shared" si="21"/>
        <v>4930888.0297781806</v>
      </c>
      <c r="S12" s="103">
        <f t="shared" si="22"/>
        <v>1154669.3353576839</v>
      </c>
      <c r="T12" s="235">
        <f t="shared" si="23"/>
        <v>0.08</v>
      </c>
      <c r="U12" s="235">
        <f t="shared" si="24"/>
        <v>0.08</v>
      </c>
      <c r="V12" s="235">
        <f t="shared" si="25"/>
        <v>0.08</v>
      </c>
      <c r="W12" s="241">
        <v>0.08</v>
      </c>
      <c r="X12" s="241">
        <v>0.08</v>
      </c>
      <c r="Y12" s="241">
        <v>0.08</v>
      </c>
      <c r="Z12" s="102">
        <f>IFERROR((-1.5*T12^4+2.05*T12^3+0.16*T12^2+0.04*T12+0.025)*N12,0)*'Fixed Factors'!$I$13</f>
        <v>53191.076045309484</v>
      </c>
      <c r="AA12" s="102">
        <f>IFERROR((-1.5*U12^4+2.05*U12^3+0.16*U12^2+0.04*U12+0.025)*O12,0)*'Fixed Factors'!$I$14</f>
        <v>212764.30418123794</v>
      </c>
      <c r="AB12" s="102">
        <f>IFERROR((-1.5*V12^4+2.05*V12^3+0.16*V12^2+0.04*V12+0.025)*P12,0)*'Fixed Factors'!$I$15</f>
        <v>37599.589640587488</v>
      </c>
      <c r="AC12" s="103">
        <f>IFERROR((-1.5*(W12)^4+2.05*(W12)^3+0.16*(W12)^2+0.04*W12+0.025)*Q12,0)*'Fixed Factors'!$I$13</f>
        <v>51768.040388965746</v>
      </c>
      <c r="AD12" s="103">
        <f>IFERROR((-1.5*(X12)^4+2.05*(X12)^3+0.16*(X12)^2+0.04*X12+0.025)*R12,0)*'Fixed Factors'!$I$14</f>
        <v>207072.16155586299</v>
      </c>
      <c r="AE12" s="103">
        <f>IFERROR((-1.5*(Y12)^4+2.05*(Y12)^3+0.16*(Y12)^2+0.04*Y12+0.025)*S12,0)*'Fixed Factors'!$I$15</f>
        <v>34885.054706920004</v>
      </c>
      <c r="AF12" s="224">
        <f>H12/$AF$1*'Network Crash Rates'!$D$4+'Network Model Data'!I12/$AF$1*'Network Crash Rates'!$D$5+'Network Model Data'!J12/$AF$1*'Network Crash Rates'!$D$6</f>
        <v>2.8406107803721259</v>
      </c>
      <c r="AG12" s="224">
        <f>H12/'Network Model Data'!$AF$1*'Network Crash Rates'!$E$4+I12/'Network Model Data'!$AF$1*'Network Crash Rates'!$E$5+J12/'Network Model Data'!$AF$1*'Network Crash Rates'!$E$6</f>
        <v>127.83223408024165</v>
      </c>
      <c r="AH12" s="224">
        <f>H12/$AF$1*'Network Crash Rates'!$F$4+I12/$AF$1*'Network Crash Rates'!$F$5+J12/$AF$1*'Network Crash Rates'!$F$6</f>
        <v>463.03672653021897</v>
      </c>
      <c r="AI12" s="224">
        <f>K12/$AF$1*'Network Crash Rates'!$D$7+L12/$AF$1*'Network Crash Rates'!$D$8+M12/$AF$1*'Network Crash Rates'!$D$9</f>
        <v>2.8287765666816891</v>
      </c>
      <c r="AJ12" s="225">
        <f>K12/$AF$1*'Network Crash Rates'!$E$7+L12/$AF$1*'Network Crash Rates'!$E$8+M12/$AF$1*'Network Crash Rates'!$E$9</f>
        <v>127.29967467960692</v>
      </c>
      <c r="AK12" s="225">
        <f>K12/$AF$1*'Network Crash Rates'!$F$7+L12/$AF$1*'Network Crash Rates'!$F$8+M12/$AF$1*'Network Crash Rates'!$F$9</f>
        <v>461.10767816986561</v>
      </c>
      <c r="AL12" s="238">
        <f t="shared" si="26"/>
        <v>0</v>
      </c>
      <c r="AM12" s="238">
        <f t="shared" si="0"/>
        <v>0</v>
      </c>
      <c r="AN12" s="238">
        <f t="shared" si="0"/>
        <v>0</v>
      </c>
      <c r="AO12" s="106">
        <f t="shared" si="27"/>
        <v>-235982.828248173</v>
      </c>
      <c r="AP12" s="106">
        <f t="shared" si="1"/>
        <v>-986616.32932460308</v>
      </c>
      <c r="AQ12" s="106">
        <f t="shared" si="1"/>
        <v>-299290.46311093122</v>
      </c>
      <c r="AR12" s="106">
        <f t="shared" si="28"/>
        <v>-33885.91412332328</v>
      </c>
      <c r="AS12" s="106">
        <f t="shared" si="2"/>
        <v>-135543.65649329312</v>
      </c>
      <c r="AT12" s="106">
        <f t="shared" si="2"/>
        <v>-89849.085059376201</v>
      </c>
      <c r="AU12" s="239">
        <f t="shared" si="29"/>
        <v>0</v>
      </c>
      <c r="AV12" s="239">
        <f t="shared" si="3"/>
        <v>0</v>
      </c>
      <c r="AW12" s="239">
        <f t="shared" si="3"/>
        <v>0</v>
      </c>
      <c r="AX12" s="240">
        <f t="shared" si="30"/>
        <v>16.645678143634296</v>
      </c>
      <c r="AY12" s="240">
        <f t="shared" si="4"/>
        <v>16.45912273069937</v>
      </c>
      <c r="AZ12" s="240">
        <f t="shared" si="4"/>
        <v>14.675989502296339</v>
      </c>
      <c r="BA12" s="240">
        <f t="shared" si="4"/>
        <v>16.581391397401443</v>
      </c>
      <c r="BB12" s="240">
        <f t="shared" si="5"/>
        <v>16.391482203671821</v>
      </c>
      <c r="BC12" s="240">
        <f t="shared" si="5"/>
        <v>14.607493989251063</v>
      </c>
      <c r="BD12" s="227">
        <f t="shared" si="31"/>
        <v>-6.4286746232852465E-2</v>
      </c>
      <c r="BE12" s="227">
        <f t="shared" si="6"/>
        <v>-6.7640527027549524E-2</v>
      </c>
      <c r="BF12" s="227">
        <f t="shared" si="6"/>
        <v>-6.8495513045276013E-2</v>
      </c>
      <c r="BG12" s="228">
        <f t="shared" si="32"/>
        <v>48.241216372844058</v>
      </c>
      <c r="BH12" s="228">
        <f t="shared" si="7"/>
        <v>47.385537234419708</v>
      </c>
      <c r="BI12" s="228">
        <f t="shared" si="7"/>
        <v>51.527232651365999</v>
      </c>
      <c r="BJ12" s="228">
        <f t="shared" si="7"/>
        <v>49.375871938754038</v>
      </c>
      <c r="BK12" s="228">
        <f t="shared" si="8"/>
        <v>48.488014642038365</v>
      </c>
      <c r="BL12" s="228">
        <f t="shared" si="8"/>
        <v>55.277556760314894</v>
      </c>
      <c r="BM12" s="228">
        <f t="shared" si="33"/>
        <v>1.1346555659099806</v>
      </c>
      <c r="BN12" s="228">
        <f t="shared" si="9"/>
        <v>1.1024774076186574</v>
      </c>
      <c r="BO12" s="228">
        <f t="shared" si="9"/>
        <v>3.7503241089488952</v>
      </c>
    </row>
    <row r="13" spans="1:67" x14ac:dyDescent="0.25">
      <c r="A13" s="203">
        <v>2028</v>
      </c>
      <c r="B13" s="103">
        <f t="shared" si="10"/>
        <v>3672439.199974189</v>
      </c>
      <c r="C13" s="103">
        <f t="shared" si="10"/>
        <v>14592075.433800548</v>
      </c>
      <c r="D13" s="103">
        <f t="shared" si="10"/>
        <v>4453394.8928253194</v>
      </c>
      <c r="E13" s="103">
        <f t="shared" si="10"/>
        <v>3672439.199974189</v>
      </c>
      <c r="F13" s="103">
        <f t="shared" si="10"/>
        <v>14592075.433800548</v>
      </c>
      <c r="G13" s="103">
        <f t="shared" si="10"/>
        <v>4453394.8928253194</v>
      </c>
      <c r="H13" s="103">
        <f t="shared" si="11"/>
        <v>61112016.303967834</v>
      </c>
      <c r="I13" s="103">
        <f t="shared" si="12"/>
        <v>240130018.26165017</v>
      </c>
      <c r="J13" s="103">
        <f t="shared" si="13"/>
        <v>65297903.607759595</v>
      </c>
      <c r="K13" s="103">
        <f t="shared" si="14"/>
        <v>60870929.848732568</v>
      </c>
      <c r="L13" s="103">
        <f t="shared" si="15"/>
        <v>239106949.10462704</v>
      </c>
      <c r="M13" s="103">
        <f t="shared" si="16"/>
        <v>64999954.915811956</v>
      </c>
      <c r="N13" s="103">
        <f t="shared" si="17"/>
        <v>1266939.3068954463</v>
      </c>
      <c r="O13" s="103">
        <f t="shared" si="18"/>
        <v>5067757.2275817851</v>
      </c>
      <c r="P13" s="103">
        <f t="shared" si="19"/>
        <v>1271433.4411062864</v>
      </c>
      <c r="Q13" s="103">
        <f t="shared" si="20"/>
        <v>1233340.997517314</v>
      </c>
      <c r="R13" s="103">
        <f t="shared" si="21"/>
        <v>4933363.9900692562</v>
      </c>
      <c r="S13" s="103">
        <f t="shared" si="22"/>
        <v>1178669.7197350648</v>
      </c>
      <c r="T13" s="235">
        <f t="shared" si="23"/>
        <v>0.08</v>
      </c>
      <c r="U13" s="235">
        <f t="shared" si="24"/>
        <v>0.08</v>
      </c>
      <c r="V13" s="235">
        <f t="shared" si="25"/>
        <v>0.08</v>
      </c>
      <c r="W13" s="241">
        <v>0.08</v>
      </c>
      <c r="X13" s="241">
        <v>0.08</v>
      </c>
      <c r="Y13" s="241">
        <v>0.08</v>
      </c>
      <c r="Z13" s="102">
        <f>IFERROR((-1.5*T13^4+2.05*T13^3+0.16*T13^2+0.04*T13+0.025)*N13,0)*'Fixed Factors'!$I$13</f>
        <v>53204.99253979791</v>
      </c>
      <c r="AA13" s="102">
        <f>IFERROR((-1.5*U13^4+2.05*U13^3+0.16*U13^2+0.04*U13+0.025)*O13,0)*'Fixed Factors'!$I$14</f>
        <v>212819.97015919164</v>
      </c>
      <c r="AB13" s="102">
        <f>IFERROR((-1.5*V13^4+2.05*V13^3+0.16*V13^2+0.04*V13+0.025)*P13,0)*'Fixed Factors'!$I$15</f>
        <v>38412.750552053702</v>
      </c>
      <c r="AC13" s="103">
        <f>IFERROR((-1.5*(W13)^4+2.05*(W13)^3+0.16*(W13)^2+0.04*W13+0.025)*Q13,0)*'Fixed Factors'!$I$13</f>
        <v>51794.034816658248</v>
      </c>
      <c r="AD13" s="103">
        <f>IFERROR((-1.5*(X13)^4+2.05*(X13)^3+0.16*(X13)^2+0.04*X13+0.025)*R13,0)*'Fixed Factors'!$I$14</f>
        <v>207176.13926663299</v>
      </c>
      <c r="AE13" s="103">
        <f>IFERROR((-1.5*(Y13)^4+2.05*(Y13)^3+0.16*(Y13)^2+0.04*Y13+0.025)*S13,0)*'Fixed Factors'!$I$15</f>
        <v>35610.158159790939</v>
      </c>
      <c r="AF13" s="224">
        <f>H13/$AF$1*'Network Crash Rates'!$D$4+'Network Model Data'!I13/$AF$1*'Network Crash Rates'!$D$5+'Network Model Data'!J13/$AF$1*'Network Crash Rates'!$D$6</f>
        <v>2.8502145592361843</v>
      </c>
      <c r="AG13" s="224">
        <f>H13/'Network Model Data'!$AF$1*'Network Crash Rates'!$E$4+I13/'Network Model Data'!$AF$1*'Network Crash Rates'!$E$5+J13/'Network Model Data'!$AF$1*'Network Crash Rates'!$E$6</f>
        <v>128.26442018482453</v>
      </c>
      <c r="AH13" s="224">
        <f>H13/$AF$1*'Network Crash Rates'!$F$4+I13/$AF$1*'Network Crash Rates'!$F$5+J13/$AF$1*'Network Crash Rates'!$F$6</f>
        <v>464.60220053259218</v>
      </c>
      <c r="AI13" s="224">
        <f>K13/$AF$1*'Network Crash Rates'!$D$7+L13/$AF$1*'Network Crash Rates'!$D$8+M13/$AF$1*'Network Crash Rates'!$D$9</f>
        <v>2.8380676361666781</v>
      </c>
      <c r="AJ13" s="225">
        <f>K13/$AF$1*'Network Crash Rates'!$E$7+L13/$AF$1*'Network Crash Rates'!$E$8+M13/$AF$1*'Network Crash Rates'!$E$9</f>
        <v>127.71778833934081</v>
      </c>
      <c r="AK13" s="225">
        <f>K13/$AF$1*'Network Crash Rates'!$F$7+L13/$AF$1*'Network Crash Rates'!$F$8+M13/$AF$1*'Network Crash Rates'!$F$9</f>
        <v>462.62217865336038</v>
      </c>
      <c r="AL13" s="238">
        <f t="shared" si="26"/>
        <v>0</v>
      </c>
      <c r="AM13" s="238">
        <f t="shared" si="0"/>
        <v>0</v>
      </c>
      <c r="AN13" s="238">
        <f t="shared" si="0"/>
        <v>0</v>
      </c>
      <c r="AO13" s="106">
        <f t="shared" si="27"/>
        <v>-241086.4552352652</v>
      </c>
      <c r="AP13" s="106">
        <f t="shared" si="1"/>
        <v>-1023069.1570231318</v>
      </c>
      <c r="AQ13" s="106">
        <f t="shared" si="1"/>
        <v>-297948.69194763899</v>
      </c>
      <c r="AR13" s="106">
        <f t="shared" si="28"/>
        <v>-33598.309378132224</v>
      </c>
      <c r="AS13" s="106">
        <f t="shared" si="2"/>
        <v>-134393.2375125289</v>
      </c>
      <c r="AT13" s="106">
        <f t="shared" si="2"/>
        <v>-92763.721371221589</v>
      </c>
      <c r="AU13" s="239">
        <f t="shared" si="29"/>
        <v>0</v>
      </c>
      <c r="AV13" s="239">
        <f t="shared" si="3"/>
        <v>0</v>
      </c>
      <c r="AW13" s="239">
        <f t="shared" si="3"/>
        <v>0</v>
      </c>
      <c r="AX13" s="240">
        <f t="shared" si="30"/>
        <v>16.640715605148031</v>
      </c>
      <c r="AY13" s="240">
        <f t="shared" si="4"/>
        <v>16.456193592956751</v>
      </c>
      <c r="AZ13" s="240">
        <f t="shared" si="4"/>
        <v>14.662500222685923</v>
      </c>
      <c r="BA13" s="240">
        <f t="shared" si="4"/>
        <v>16.575068104370629</v>
      </c>
      <c r="BB13" s="240">
        <f t="shared" si="5"/>
        <v>16.386082308125168</v>
      </c>
      <c r="BC13" s="240">
        <f t="shared" si="5"/>
        <v>14.595596501116642</v>
      </c>
      <c r="BD13" s="227">
        <f t="shared" si="31"/>
        <v>-6.5647500777402001E-2</v>
      </c>
      <c r="BE13" s="227">
        <f t="shared" si="6"/>
        <v>-7.0111284831583021E-2</v>
      </c>
      <c r="BF13" s="227">
        <f t="shared" si="6"/>
        <v>-6.6903721569280705E-2</v>
      </c>
      <c r="BG13" s="228">
        <f t="shared" si="32"/>
        <v>48.235946245695793</v>
      </c>
      <c r="BH13" s="228">
        <f t="shared" si="7"/>
        <v>47.383883536235338</v>
      </c>
      <c r="BI13" s="228">
        <f t="shared" si="7"/>
        <v>51.357705009664734</v>
      </c>
      <c r="BJ13" s="228">
        <f t="shared" si="7"/>
        <v>49.35450128655765</v>
      </c>
      <c r="BK13" s="228">
        <f t="shared" si="8"/>
        <v>48.467323632706531</v>
      </c>
      <c r="BL13" s="228">
        <f t="shared" si="8"/>
        <v>55.146877727903544</v>
      </c>
      <c r="BM13" s="228">
        <f t="shared" si="33"/>
        <v>1.1185550408618568</v>
      </c>
      <c r="BN13" s="228">
        <f t="shared" si="9"/>
        <v>1.0834400964711932</v>
      </c>
      <c r="BO13" s="228">
        <f t="shared" si="9"/>
        <v>3.7891727182388095</v>
      </c>
    </row>
    <row r="14" spans="1:67" x14ac:dyDescent="0.25">
      <c r="A14" s="203">
        <v>2029</v>
      </c>
      <c r="B14" s="103">
        <f t="shared" si="10"/>
        <v>3674094.0756793935</v>
      </c>
      <c r="C14" s="103">
        <f t="shared" si="10"/>
        <v>14597981.73139243</v>
      </c>
      <c r="D14" s="103">
        <f t="shared" si="10"/>
        <v>4538910.9069151217</v>
      </c>
      <c r="E14" s="103">
        <f t="shared" si="10"/>
        <v>3674094.0756793935</v>
      </c>
      <c r="F14" s="103">
        <f t="shared" si="10"/>
        <v>14597981.73139243</v>
      </c>
      <c r="G14" s="103">
        <f t="shared" si="10"/>
        <v>4538910.9069151217</v>
      </c>
      <c r="H14" s="103">
        <f t="shared" si="11"/>
        <v>61121327.222400747</v>
      </c>
      <c r="I14" s="103">
        <f t="shared" si="12"/>
        <v>240184461.54865253</v>
      </c>
      <c r="J14" s="103">
        <f t="shared" si="13"/>
        <v>66490611.820857637</v>
      </c>
      <c r="K14" s="103">
        <f t="shared" si="14"/>
        <v>60875136.012424082</v>
      </c>
      <c r="L14" s="103">
        <f t="shared" si="15"/>
        <v>239124928.57496929</v>
      </c>
      <c r="M14" s="103">
        <f t="shared" si="16"/>
        <v>66194154.496359833</v>
      </c>
      <c r="N14" s="103">
        <f t="shared" si="17"/>
        <v>1267270.7789240731</v>
      </c>
      <c r="O14" s="103">
        <f t="shared" si="18"/>
        <v>5069083.1156962924</v>
      </c>
      <c r="P14" s="103">
        <f t="shared" si="19"/>
        <v>1298930.5490726607</v>
      </c>
      <c r="Q14" s="103">
        <f t="shared" si="20"/>
        <v>1233960.298405261</v>
      </c>
      <c r="R14" s="103">
        <f t="shared" si="21"/>
        <v>4935841.193621044</v>
      </c>
      <c r="S14" s="103">
        <f t="shared" si="22"/>
        <v>1203168.9642039225</v>
      </c>
      <c r="T14" s="235">
        <f t="shared" si="23"/>
        <v>0.08</v>
      </c>
      <c r="U14" s="235">
        <f t="shared" si="24"/>
        <v>0.08</v>
      </c>
      <c r="V14" s="235">
        <f t="shared" si="25"/>
        <v>0.08</v>
      </c>
      <c r="W14" s="241">
        <v>0.08</v>
      </c>
      <c r="X14" s="241">
        <v>0.08</v>
      </c>
      <c r="Y14" s="241">
        <v>0.08</v>
      </c>
      <c r="Z14" s="102">
        <f>IFERROR((-1.5*T14^4+2.05*T14^3+0.16*T14^2+0.04*T14+0.025)*N14,0)*'Fixed Factors'!$I$13</f>
        <v>53218.912675288426</v>
      </c>
      <c r="AA14" s="102">
        <f>IFERROR((-1.5*U14^4+2.05*U14^3+0.16*U14^2+0.04*U14+0.025)*O14,0)*'Fixed Factors'!$I$14</f>
        <v>212875.6507011537</v>
      </c>
      <c r="AB14" s="102">
        <f>IFERROR((-1.5*V14^4+2.05*V14^3+0.16*V14^2+0.04*V14+0.025)*P14,0)*'Fixed Factors'!$I$15</f>
        <v>39243.497577471084</v>
      </c>
      <c r="AC14" s="103">
        <f>IFERROR((-1.5*(W14)^4+2.05*(W14)^3+0.16*(W14)^2+0.04*W14+0.025)*Q14,0)*'Fixed Factors'!$I$13</f>
        <v>51820.042297003813</v>
      </c>
      <c r="AD14" s="103">
        <f>IFERROR((-1.5*(X14)^4+2.05*(X14)^3+0.16*(X14)^2+0.04*X14+0.025)*R14,0)*'Fixed Factors'!$I$14</f>
        <v>207280.16918801525</v>
      </c>
      <c r="AE14" s="103">
        <f>IFERROR((-1.5*(Y14)^4+2.05*(Y14)^3+0.16*(Y14)^2+0.04*Y14+0.025)*S14,0)*'Fixed Factors'!$I$15</f>
        <v>36350.333253563185</v>
      </c>
      <c r="AF14" s="224">
        <f>H14/$AF$1*'Network Crash Rates'!$D$4+'Network Model Data'!I14/$AF$1*'Network Crash Rates'!$D$5+'Network Model Data'!J14/$AF$1*'Network Crash Rates'!$D$6</f>
        <v>2.8599848110026991</v>
      </c>
      <c r="AG14" s="224">
        <f>H14/'Network Model Data'!$AF$1*'Network Crash Rates'!$E$4+I14/'Network Model Data'!$AF$1*'Network Crash Rates'!$E$5+J14/'Network Model Data'!$AF$1*'Network Crash Rates'!$E$6</f>
        <v>128.70409784832916</v>
      </c>
      <c r="AH14" s="224">
        <f>H14/$AF$1*'Network Crash Rates'!$F$4+I14/$AF$1*'Network Crash Rates'!$F$5+J14/$AF$1*'Network Crash Rates'!$F$6</f>
        <v>466.19481062426786</v>
      </c>
      <c r="AI14" s="224">
        <f>K14/$AF$1*'Network Crash Rates'!$D$7+L14/$AF$1*'Network Crash Rates'!$D$8+M14/$AF$1*'Network Crash Rates'!$D$9</f>
        <v>2.847526247595265</v>
      </c>
      <c r="AJ14" s="225">
        <f>K14/$AF$1*'Network Crash Rates'!$E$7+L14/$AF$1*'Network Crash Rates'!$E$8+M14/$AF$1*'Network Crash Rates'!$E$9</f>
        <v>128.143441666635</v>
      </c>
      <c r="AK14" s="225">
        <f>K14/$AF$1*'Network Crash Rates'!$F$7+L14/$AF$1*'Network Crash Rates'!$F$8+M14/$AF$1*'Network Crash Rates'!$F$9</f>
        <v>464.16398948632514</v>
      </c>
      <c r="AL14" s="238">
        <f t="shared" si="26"/>
        <v>0</v>
      </c>
      <c r="AM14" s="238">
        <f t="shared" si="0"/>
        <v>0</v>
      </c>
      <c r="AN14" s="238">
        <f t="shared" si="0"/>
        <v>0</v>
      </c>
      <c r="AO14" s="106">
        <f t="shared" si="27"/>
        <v>-246191.20997666568</v>
      </c>
      <c r="AP14" s="106">
        <f t="shared" si="1"/>
        <v>-1059532.973683238</v>
      </c>
      <c r="AQ14" s="106">
        <f t="shared" si="1"/>
        <v>-296457.32449780405</v>
      </c>
      <c r="AR14" s="106">
        <f t="shared" si="28"/>
        <v>-33310.480518812081</v>
      </c>
      <c r="AS14" s="106">
        <f t="shared" si="2"/>
        <v>-133241.92207524832</v>
      </c>
      <c r="AT14" s="106">
        <f t="shared" si="2"/>
        <v>-95761.584868738195</v>
      </c>
      <c r="AU14" s="239">
        <f t="shared" si="29"/>
        <v>0</v>
      </c>
      <c r="AV14" s="239">
        <f t="shared" si="3"/>
        <v>0</v>
      </c>
      <c r="AW14" s="239">
        <f t="shared" si="3"/>
        <v>0</v>
      </c>
      <c r="AX14" s="240">
        <f t="shared" si="30"/>
        <v>16.635754546132173</v>
      </c>
      <c r="AY14" s="240">
        <f t="shared" si="4"/>
        <v>16.453264976496342</v>
      </c>
      <c r="AZ14" s="240">
        <f t="shared" si="4"/>
        <v>14.649023341603348</v>
      </c>
      <c r="BA14" s="240">
        <f t="shared" si="4"/>
        <v>16.568747222719761</v>
      </c>
      <c r="BB14" s="240">
        <f t="shared" si="5"/>
        <v>16.38068419148243</v>
      </c>
      <c r="BC14" s="240">
        <f t="shared" si="5"/>
        <v>14.583708703229163</v>
      </c>
      <c r="BD14" s="227">
        <f t="shared" si="31"/>
        <v>-6.7007323412411779E-2</v>
      </c>
      <c r="BE14" s="227">
        <f t="shared" si="6"/>
        <v>-7.2580785013911964E-2</v>
      </c>
      <c r="BF14" s="227">
        <f t="shared" si="6"/>
        <v>-6.5314638374184497E-2</v>
      </c>
      <c r="BG14" s="228">
        <f t="shared" si="32"/>
        <v>48.230676694284256</v>
      </c>
      <c r="BH14" s="228">
        <f t="shared" si="7"/>
        <v>47.382229895763039</v>
      </c>
      <c r="BI14" s="228">
        <f t="shared" si="7"/>
        <v>51.18873512392711</v>
      </c>
      <c r="BJ14" s="228">
        <f t="shared" si="7"/>
        <v>49.333139883914875</v>
      </c>
      <c r="BK14" s="228">
        <f t="shared" si="8"/>
        <v>48.446641452729125</v>
      </c>
      <c r="BL14" s="228">
        <f t="shared" si="8"/>
        <v>55.016507627552741</v>
      </c>
      <c r="BM14" s="228">
        <f t="shared" si="33"/>
        <v>1.102463189630619</v>
      </c>
      <c r="BN14" s="228">
        <f t="shared" si="9"/>
        <v>1.0644115569660855</v>
      </c>
      <c r="BO14" s="228">
        <f t="shared" si="9"/>
        <v>3.8277725036256314</v>
      </c>
    </row>
    <row r="15" spans="1:67" x14ac:dyDescent="0.25">
      <c r="A15" s="203">
        <v>2030</v>
      </c>
      <c r="B15" s="103">
        <f t="shared" si="10"/>
        <v>3675749.6971052075</v>
      </c>
      <c r="C15" s="103">
        <f t="shared" si="10"/>
        <v>14603890.419621024</v>
      </c>
      <c r="D15" s="103">
        <f t="shared" si="10"/>
        <v>4626069.0364790289</v>
      </c>
      <c r="E15" s="103">
        <f t="shared" si="10"/>
        <v>3675749.6971052075</v>
      </c>
      <c r="F15" s="103">
        <f t="shared" si="10"/>
        <v>14603890.419621024</v>
      </c>
      <c r="G15" s="103">
        <f t="shared" si="10"/>
        <v>4626069.0364790289</v>
      </c>
      <c r="H15" s="103">
        <f t="shared" si="11"/>
        <v>61130639.559428684</v>
      </c>
      <c r="I15" s="103">
        <f t="shared" si="12"/>
        <v>240238917.17926574</v>
      </c>
      <c r="J15" s="103">
        <f t="shared" si="13"/>
        <v>67705105.616692558</v>
      </c>
      <c r="K15" s="103">
        <f t="shared" si="14"/>
        <v>60879342.466760293</v>
      </c>
      <c r="L15" s="103">
        <f t="shared" si="15"/>
        <v>239142909.39726451</v>
      </c>
      <c r="M15" s="103">
        <f t="shared" si="16"/>
        <v>67410294.286559045</v>
      </c>
      <c r="N15" s="103">
        <f t="shared" si="17"/>
        <v>1267602.3376764324</v>
      </c>
      <c r="O15" s="103">
        <f t="shared" si="18"/>
        <v>5070409.3507057298</v>
      </c>
      <c r="P15" s="103">
        <f t="shared" si="19"/>
        <v>1327022.3330339158</v>
      </c>
      <c r="Q15" s="103">
        <f t="shared" si="20"/>
        <v>1234579.9102644564</v>
      </c>
      <c r="R15" s="103">
        <f t="shared" si="21"/>
        <v>4938319.6410578256</v>
      </c>
      <c r="S15" s="103">
        <f t="shared" si="22"/>
        <v>1228177.4378228085</v>
      </c>
      <c r="T15" s="235">
        <f t="shared" si="23"/>
        <v>0.08</v>
      </c>
      <c r="U15" s="235">
        <f t="shared" si="24"/>
        <v>0.08</v>
      </c>
      <c r="V15" s="235">
        <f t="shared" si="25"/>
        <v>0.08</v>
      </c>
      <c r="W15" s="241">
        <v>0.08</v>
      </c>
      <c r="X15" s="241">
        <v>0.08</v>
      </c>
      <c r="Y15" s="241">
        <v>0.08</v>
      </c>
      <c r="Z15" s="102">
        <f>IFERROR((-1.5*T15^4+2.05*T15^3+0.16*T15^2+0.04*T15+0.025)*N15,0)*'Fixed Factors'!$I$13</f>
        <v>53232.836452733631</v>
      </c>
      <c r="AA15" s="102">
        <f>IFERROR((-1.5*U15^4+2.05*U15^3+0.16*U15^2+0.04*U15+0.025)*O15,0)*'Fixed Factors'!$I$14</f>
        <v>212931.34581093452</v>
      </c>
      <c r="AB15" s="102">
        <f>IFERROR((-1.5*V15^4+2.05*V15^3+0.16*V15^2+0.04*V15+0.025)*P15,0)*'Fixed Factors'!$I$15</f>
        <v>40092.211049193953</v>
      </c>
      <c r="AC15" s="103">
        <f>IFERROR((-1.5*(W15)^4+2.05*(W15)^3+0.16*(W15)^2+0.04*W15+0.025)*Q15,0)*'Fixed Factors'!$I$13</f>
        <v>51846.062836556601</v>
      </c>
      <c r="AD15" s="103">
        <f>IFERROR((-1.5*(X15)^4+2.05*(X15)^3+0.16*(X15)^2+0.04*X15+0.025)*R15,0)*'Fixed Factors'!$I$14</f>
        <v>207384.2513462264</v>
      </c>
      <c r="AE15" s="103">
        <f>IFERROR((-1.5*(Y15)^4+2.05*(Y15)^3+0.16*(Y15)^2+0.04*Y15+0.025)*S15,0)*'Fixed Factors'!$I$15</f>
        <v>37105.893259892742</v>
      </c>
      <c r="AF15" s="224">
        <f>H15/$AF$1*'Network Crash Rates'!$D$4+'Network Model Data'!I15/$AF$1*'Network Crash Rates'!$D$5+'Network Model Data'!J15/$AF$1*'Network Crash Rates'!$D$6</f>
        <v>2.8699245744754887</v>
      </c>
      <c r="AG15" s="224">
        <f>H15/'Network Model Data'!$AF$1*'Network Crash Rates'!$E$4+I15/'Network Model Data'!$AF$1*'Network Crash Rates'!$E$5+J15/'Network Model Data'!$AF$1*'Network Crash Rates'!$E$6</f>
        <v>129.15140382200761</v>
      </c>
      <c r="AH15" s="224">
        <f>H15/$AF$1*'Network Crash Rates'!$F$4+I15/$AF$1*'Network Crash Rates'!$F$5+J15/$AF$1*'Network Crash Rates'!$F$6</f>
        <v>467.81505214863546</v>
      </c>
      <c r="AI15" s="224">
        <f>K15/$AF$1*'Network Crash Rates'!$D$7+L15/$AF$1*'Network Crash Rates'!$D$8+M15/$AF$1*'Network Crash Rates'!$D$9</f>
        <v>2.85715547886694</v>
      </c>
      <c r="AJ15" s="225">
        <f>K15/$AF$1*'Network Crash Rates'!$E$7+L15/$AF$1*'Network Crash Rates'!$E$8+M15/$AF$1*'Network Crash Rates'!$E$9</f>
        <v>128.57677317211224</v>
      </c>
      <c r="AK15" s="225">
        <f>K15/$AF$1*'Network Crash Rates'!$F$7+L15/$AF$1*'Network Crash Rates'!$F$8+M15/$AF$1*'Network Crash Rates'!$F$9</f>
        <v>465.73361238498029</v>
      </c>
      <c r="AL15" s="238">
        <f t="shared" si="26"/>
        <v>0</v>
      </c>
      <c r="AM15" s="238">
        <f t="shared" si="0"/>
        <v>0</v>
      </c>
      <c r="AN15" s="238">
        <f t="shared" si="0"/>
        <v>0</v>
      </c>
      <c r="AO15" s="106">
        <f t="shared" si="27"/>
        <v>-251297.09266839176</v>
      </c>
      <c r="AP15" s="106">
        <f t="shared" si="1"/>
        <v>-1096007.7820012271</v>
      </c>
      <c r="AQ15" s="106">
        <f t="shared" si="1"/>
        <v>-294811.33013351262</v>
      </c>
      <c r="AR15" s="106">
        <f t="shared" si="28"/>
        <v>-33022.427411976038</v>
      </c>
      <c r="AS15" s="106">
        <f t="shared" si="2"/>
        <v>-132089.70964790415</v>
      </c>
      <c r="AT15" s="106">
        <f t="shared" si="2"/>
        <v>-98844.89521110733</v>
      </c>
      <c r="AU15" s="239">
        <f t="shared" si="29"/>
        <v>0</v>
      </c>
      <c r="AV15" s="239">
        <f t="shared" si="3"/>
        <v>0</v>
      </c>
      <c r="AW15" s="239">
        <f t="shared" si="3"/>
        <v>0</v>
      </c>
      <c r="AX15" s="240">
        <f t="shared" si="30"/>
        <v>16.63079496614565</v>
      </c>
      <c r="AY15" s="240">
        <f t="shared" si="4"/>
        <v>16.450336881225383</v>
      </c>
      <c r="AZ15" s="240">
        <f t="shared" si="4"/>
        <v>14.635558847652636</v>
      </c>
      <c r="BA15" s="240">
        <f t="shared" si="4"/>
        <v>16.562428751529271</v>
      </c>
      <c r="BB15" s="240">
        <f t="shared" si="5"/>
        <v>16.37528785315758</v>
      </c>
      <c r="BC15" s="240">
        <f t="shared" si="5"/>
        <v>14.571830587696123</v>
      </c>
      <c r="BD15" s="227">
        <f t="shared" si="31"/>
        <v>-6.836621461637904E-2</v>
      </c>
      <c r="BE15" s="227">
        <f t="shared" si="6"/>
        <v>-7.5049028067802226E-2</v>
      </c>
      <c r="BF15" s="227">
        <f t="shared" si="6"/>
        <v>-6.3728259956512545E-2</v>
      </c>
      <c r="BG15" s="228">
        <f t="shared" si="32"/>
        <v>48.225407718546556</v>
      </c>
      <c r="BH15" s="228">
        <f t="shared" si="7"/>
        <v>47.380576313000816</v>
      </c>
      <c r="BI15" s="228">
        <f t="shared" si="7"/>
        <v>51.020321159103027</v>
      </c>
      <c r="BJ15" s="228">
        <f t="shared" si="7"/>
        <v>49.311787726822374</v>
      </c>
      <c r="BK15" s="228">
        <f t="shared" si="8"/>
        <v>48.425968098338465</v>
      </c>
      <c r="BL15" s="228">
        <f t="shared" si="8"/>
        <v>54.886445728930951</v>
      </c>
      <c r="BM15" s="228">
        <f t="shared" si="33"/>
        <v>1.0863800082758175</v>
      </c>
      <c r="BN15" s="228">
        <f t="shared" si="9"/>
        <v>1.0453917853376495</v>
      </c>
      <c r="BO15" s="228">
        <f t="shared" si="9"/>
        <v>3.8661245698279245</v>
      </c>
    </row>
    <row r="16" spans="1:67" x14ac:dyDescent="0.25">
      <c r="A16" s="203">
        <v>2031</v>
      </c>
      <c r="B16" s="103">
        <f t="shared" ref="B16:G24" si="34">IFERROR(B$5*((1+B$30)^($A16-$A$5)),0)</f>
        <v>3677406.0645876681</v>
      </c>
      <c r="C16" s="103">
        <f t="shared" si="34"/>
        <v>14609801.499453964</v>
      </c>
      <c r="D16" s="103">
        <f t="shared" si="34"/>
        <v>4714900.8141283188</v>
      </c>
      <c r="E16" s="103">
        <f t="shared" si="34"/>
        <v>3677406.0645876681</v>
      </c>
      <c r="F16" s="103">
        <f t="shared" si="34"/>
        <v>14609801.499453964</v>
      </c>
      <c r="G16" s="103">
        <f t="shared" si="34"/>
        <v>4714900.8141283188</v>
      </c>
      <c r="H16" s="103">
        <f t="shared" si="11"/>
        <v>61139953.315267771</v>
      </c>
      <c r="I16" s="103">
        <f t="shared" si="12"/>
        <v>240293385.15628839</v>
      </c>
      <c r="J16" s="103">
        <f t="shared" si="13"/>
        <v>68941782.9229469</v>
      </c>
      <c r="K16" s="103">
        <f t="shared" si="14"/>
        <v>60883549.211761288</v>
      </c>
      <c r="L16" s="103">
        <f t="shared" si="15"/>
        <v>239160891.57161438</v>
      </c>
      <c r="M16" s="103">
        <f t="shared" si="16"/>
        <v>68648777.378830165</v>
      </c>
      <c r="N16" s="103">
        <f t="shared" si="17"/>
        <v>1267933.9831752144</v>
      </c>
      <c r="O16" s="103">
        <f t="shared" si="18"/>
        <v>5071735.9327008575</v>
      </c>
      <c r="P16" s="103">
        <f t="shared" si="19"/>
        <v>1355721.65396217</v>
      </c>
      <c r="Q16" s="103">
        <f t="shared" si="20"/>
        <v>1235199.833251049</v>
      </c>
      <c r="R16" s="103">
        <f t="shared" si="21"/>
        <v>4940799.3330041962</v>
      </c>
      <c r="S16" s="103">
        <f t="shared" si="22"/>
        <v>1253705.7251763849</v>
      </c>
      <c r="T16" s="235">
        <f t="shared" si="23"/>
        <v>0.08</v>
      </c>
      <c r="U16" s="235">
        <f t="shared" si="24"/>
        <v>0.08</v>
      </c>
      <c r="V16" s="235">
        <f t="shared" si="25"/>
        <v>0.08</v>
      </c>
      <c r="W16" s="241">
        <v>0.08</v>
      </c>
      <c r="X16" s="241">
        <v>0.08</v>
      </c>
      <c r="Y16" s="241">
        <v>0.08</v>
      </c>
      <c r="Z16" s="102">
        <f>IFERROR((-1.5*T16^4+2.05*T16^3+0.16*T16^2+0.04*T16+0.025)*N16,0)*'Fixed Factors'!$I$13</f>
        <v>53246.763873086362</v>
      </c>
      <c r="AA16" s="102">
        <f>IFERROR((-1.5*U16^4+2.05*U16^3+0.16*U16^2+0.04*U16+0.025)*O16,0)*'Fixed Factors'!$I$14</f>
        <v>212987.05549234545</v>
      </c>
      <c r="AB16" s="102">
        <f>IFERROR((-1.5*V16^4+2.05*V16^3+0.16*V16^2+0.04*V16+0.025)*P16,0)*'Fixed Factors'!$I$15</f>
        <v>40959.279524969716</v>
      </c>
      <c r="AC16" s="103">
        <f>IFERROR((-1.5*(W16)^4+2.05*(W16)^3+0.16*(W16)^2+0.04*W16+0.025)*Q16,0)*'Fixed Factors'!$I$13</f>
        <v>51872.096441874077</v>
      </c>
      <c r="AD16" s="103">
        <f>IFERROR((-1.5*(X16)^4+2.05*(X16)^3+0.16*(X16)^2+0.04*X16+0.025)*R16,0)*'Fixed Factors'!$I$14</f>
        <v>207488.38576749631</v>
      </c>
      <c r="AE16" s="103">
        <f>IFERROR((-1.5*(Y16)^4+2.05*(Y16)^3+0.16*(Y16)^2+0.04*Y16+0.025)*S16,0)*'Fixed Factors'!$I$15</f>
        <v>37877.157961944969</v>
      </c>
      <c r="AF16" s="224">
        <f>H16/$AF$1*'Network Crash Rates'!$D$4+'Network Model Data'!I16/$AF$1*'Network Crash Rates'!$D$5+'Network Model Data'!J16/$AF$1*'Network Crash Rates'!$D$6</f>
        <v>2.8800369439636553</v>
      </c>
      <c r="AG16" s="224">
        <f>H16/'Network Model Data'!$AF$1*'Network Crash Rates'!$E$4+I16/'Network Model Data'!$AF$1*'Network Crash Rates'!$E$5+J16/'Network Model Data'!$AF$1*'Network Crash Rates'!$E$6</f>
        <v>129.60647735494263</v>
      </c>
      <c r="AH16" s="224">
        <f>H16/$AF$1*'Network Crash Rates'!$F$4+I16/$AF$1*'Network Crash Rates'!$F$5+J16/$AF$1*'Network Crash Rates'!$F$6</f>
        <v>469.46342949678143</v>
      </c>
      <c r="AI16" s="224">
        <f>K16/$AF$1*'Network Crash Rates'!$D$7+L16/$AF$1*'Network Crash Rates'!$D$8+M16/$AF$1*'Network Crash Rates'!$D$9</f>
        <v>2.8669584644293127</v>
      </c>
      <c r="AJ16" s="225">
        <f>K16/$AF$1*'Network Crash Rates'!$E$7+L16/$AF$1*'Network Crash Rates'!$E$8+M16/$AF$1*'Network Crash Rates'!$E$9</f>
        <v>129.01792391115518</v>
      </c>
      <c r="AK16" s="225">
        <f>K16/$AF$1*'Network Crash Rates'!$F$7+L16/$AF$1*'Network Crash Rates'!$F$8+M16/$AF$1*'Network Crash Rates'!$F$9</f>
        <v>467.33155828323163</v>
      </c>
      <c r="AL16" s="238">
        <f t="shared" si="26"/>
        <v>0</v>
      </c>
      <c r="AM16" s="238">
        <f t="shared" si="0"/>
        <v>0</v>
      </c>
      <c r="AN16" s="238">
        <f t="shared" si="0"/>
        <v>0</v>
      </c>
      <c r="AO16" s="106">
        <f t="shared" si="27"/>
        <v>-256404.10350648314</v>
      </c>
      <c r="AP16" s="106">
        <f t="shared" si="1"/>
        <v>-1132493.5846740007</v>
      </c>
      <c r="AQ16" s="106">
        <f t="shared" si="1"/>
        <v>-293005.54411673546</v>
      </c>
      <c r="AR16" s="106">
        <f t="shared" si="28"/>
        <v>-32734.149924165336</v>
      </c>
      <c r="AS16" s="106">
        <f t="shared" si="2"/>
        <v>-130936.59969666135</v>
      </c>
      <c r="AT16" s="106">
        <f t="shared" si="2"/>
        <v>-102015.9287857851</v>
      </c>
      <c r="AU16" s="239">
        <f t="shared" si="29"/>
        <v>0</v>
      </c>
      <c r="AV16" s="239">
        <f t="shared" si="3"/>
        <v>0</v>
      </c>
      <c r="AW16" s="239">
        <f t="shared" si="3"/>
        <v>0</v>
      </c>
      <c r="AX16" s="240">
        <f t="shared" si="30"/>
        <v>16.625836864747527</v>
      </c>
      <c r="AY16" s="240">
        <f t="shared" si="4"/>
        <v>16.44740930705111</v>
      </c>
      <c r="AZ16" s="240">
        <f t="shared" si="4"/>
        <v>14.622106729448287</v>
      </c>
      <c r="BA16" s="240">
        <f t="shared" si="4"/>
        <v>16.556112689879924</v>
      </c>
      <c r="BB16" s="240">
        <f t="shared" si="5"/>
        <v>16.369893292564786</v>
      </c>
      <c r="BC16" s="240">
        <f t="shared" si="5"/>
        <v>14.559962146631458</v>
      </c>
      <c r="BD16" s="227">
        <f t="shared" si="31"/>
        <v>-6.9724174867602073E-2</v>
      </c>
      <c r="BE16" s="227">
        <f t="shared" si="6"/>
        <v>-7.7516014486324281E-2</v>
      </c>
      <c r="BF16" s="227">
        <f t="shared" si="6"/>
        <v>-6.2144582816829441E-2</v>
      </c>
      <c r="BG16" s="228">
        <f t="shared" si="32"/>
        <v>48.22013931841979</v>
      </c>
      <c r="BH16" s="228">
        <f t="shared" si="7"/>
        <v>47.378922787946621</v>
      </c>
      <c r="BI16" s="228">
        <f t="shared" si="7"/>
        <v>50.852461286179803</v>
      </c>
      <c r="BJ16" s="228">
        <f t="shared" si="7"/>
        <v>49.29044481127854</v>
      </c>
      <c r="BK16" s="228">
        <f t="shared" si="8"/>
        <v>48.405303565768449</v>
      </c>
      <c r="BL16" s="228">
        <f t="shared" si="8"/>
        <v>54.756691303433193</v>
      </c>
      <c r="BM16" s="228">
        <f t="shared" si="33"/>
        <v>1.0703054928587505</v>
      </c>
      <c r="BN16" s="228">
        <f t="shared" si="9"/>
        <v>1.0263807778218279</v>
      </c>
      <c r="BO16" s="228">
        <f t="shared" si="9"/>
        <v>3.9042300172533899</v>
      </c>
    </row>
    <row r="17" spans="1:67" x14ac:dyDescent="0.25">
      <c r="A17" s="203">
        <v>2032</v>
      </c>
      <c r="B17" s="103">
        <f t="shared" si="34"/>
        <v>3679063.1784629645</v>
      </c>
      <c r="C17" s="103">
        <f t="shared" si="34"/>
        <v>14615714.971859282</v>
      </c>
      <c r="D17" s="103">
        <f t="shared" si="34"/>
        <v>4805438.3779771011</v>
      </c>
      <c r="E17" s="103">
        <f t="shared" si="34"/>
        <v>3679063.1784629645</v>
      </c>
      <c r="F17" s="103">
        <f t="shared" si="34"/>
        <v>14615714.971859282</v>
      </c>
      <c r="G17" s="103">
        <f t="shared" si="34"/>
        <v>4805438.3779771011</v>
      </c>
      <c r="H17" s="103">
        <f t="shared" si="11"/>
        <v>61149268.490134187</v>
      </c>
      <c r="I17" s="103">
        <f t="shared" si="12"/>
        <v>240347865.48251972</v>
      </c>
      <c r="J17" s="103">
        <f t="shared" si="13"/>
        <v>70201048.935708284</v>
      </c>
      <c r="K17" s="103">
        <f t="shared" si="14"/>
        <v>60887756.247447148</v>
      </c>
      <c r="L17" s="103">
        <f t="shared" si="15"/>
        <v>239178875.09812057</v>
      </c>
      <c r="M17" s="103">
        <f t="shared" si="16"/>
        <v>69910014.271334231</v>
      </c>
      <c r="N17" s="103">
        <f t="shared" si="17"/>
        <v>1268265.7154431143</v>
      </c>
      <c r="O17" s="103">
        <f t="shared" si="18"/>
        <v>5073062.8617724571</v>
      </c>
      <c r="P17" s="103">
        <f t="shared" si="19"/>
        <v>1385041.6509719335</v>
      </c>
      <c r="Q17" s="103">
        <f t="shared" si="20"/>
        <v>1235820.0675212664</v>
      </c>
      <c r="R17" s="103">
        <f t="shared" si="21"/>
        <v>4943280.2700850656</v>
      </c>
      <c r="S17" s="103">
        <f t="shared" si="22"/>
        <v>1279764.6308552434</v>
      </c>
      <c r="T17" s="235">
        <f t="shared" si="23"/>
        <v>0.08</v>
      </c>
      <c r="U17" s="235">
        <f t="shared" si="24"/>
        <v>0.08</v>
      </c>
      <c r="V17" s="235">
        <f t="shared" si="25"/>
        <v>0.08</v>
      </c>
      <c r="W17" s="241">
        <v>0.08</v>
      </c>
      <c r="X17" s="241">
        <v>0.08</v>
      </c>
      <c r="Y17" s="241">
        <v>0.08</v>
      </c>
      <c r="Z17" s="102">
        <f>IFERROR((-1.5*T17^4+2.05*T17^3+0.16*T17^2+0.04*T17+0.025)*N17,0)*'Fixed Factors'!$I$13</f>
        <v>53260.694937299755</v>
      </c>
      <c r="AA17" s="102">
        <f>IFERROR((-1.5*U17^4+2.05*U17^3+0.16*U17^2+0.04*U17+0.025)*O17,0)*'Fixed Factors'!$I$14</f>
        <v>213042.77974919902</v>
      </c>
      <c r="AB17" s="102">
        <f>IFERROR((-1.5*V17^4+2.05*V17^3+0.16*V17^2+0.04*V17+0.025)*P17,0)*'Fixed Factors'!$I$15</f>
        <v>41845.099965828216</v>
      </c>
      <c r="AC17" s="103">
        <f>IFERROR((-1.5*(W17)^4+2.05*(W17)^3+0.16*(W17)^2+0.04*W17+0.025)*Q17,0)*'Fixed Factors'!$I$13</f>
        <v>51898.143119516993</v>
      </c>
      <c r="AD17" s="103">
        <f>IFERROR((-1.5*(X17)^4+2.05*(X17)^3+0.16*(X17)^2+0.04*X17+0.025)*R17,0)*'Fixed Factors'!$I$14</f>
        <v>207592.57247806797</v>
      </c>
      <c r="AE17" s="103">
        <f>IFERROR((-1.5*(Y17)^4+2.05*(Y17)^3+0.16*(Y17)^2+0.04*Y17+0.025)*S17,0)*'Fixed Factors'!$I$15</f>
        <v>38664.453789739557</v>
      </c>
      <c r="AF17" s="224">
        <f>H17/$AF$1*'Network Crash Rates'!$D$4+'Network Model Data'!I17/$AF$1*'Network Crash Rates'!$D$5+'Network Model Data'!J17/$AF$1*'Network Crash Rates'!$D$6</f>
        <v>2.890325070295424</v>
      </c>
      <c r="AG17" s="224">
        <f>H17/'Network Model Data'!$AF$1*'Network Crash Rates'!$E$4+I17/'Network Model Data'!$AF$1*'Network Crash Rates'!$E$5+J17/'Network Model Data'!$AF$1*'Network Crash Rates'!$E$6</f>
        <v>130.06946023967191</v>
      </c>
      <c r="AH17" s="224">
        <f>H17/$AF$1*'Network Crash Rates'!$F$4+I17/$AF$1*'Network Crash Rates'!$F$5+J17/$AF$1*'Network Crash Rates'!$F$6</f>
        <v>471.1404562727509</v>
      </c>
      <c r="AI17" s="224">
        <f>K17/$AF$1*'Network Crash Rates'!$D$7+L17/$AF$1*'Network Crash Rates'!$D$8+M17/$AF$1*'Network Crash Rates'!$D$9</f>
        <v>2.8769383963170294</v>
      </c>
      <c r="AJ17" s="225">
        <f>K17/$AF$1*'Network Crash Rates'!$E$7+L17/$AF$1*'Network Crash Rates'!$E$8+M17/$AF$1*'Network Crash Rates'!$E$9</f>
        <v>129.46703753065933</v>
      </c>
      <c r="AK17" s="225">
        <f>K17/$AF$1*'Network Crash Rates'!$F$7+L17/$AF$1*'Network Crash Rates'!$F$8+M17/$AF$1*'Network Crash Rates'!$F$9</f>
        <v>468.95834750201976</v>
      </c>
      <c r="AL17" s="238">
        <f t="shared" si="26"/>
        <v>0</v>
      </c>
      <c r="AM17" s="238">
        <f t="shared" si="0"/>
        <v>0</v>
      </c>
      <c r="AN17" s="238">
        <f t="shared" si="0"/>
        <v>0</v>
      </c>
      <c r="AO17" s="106">
        <f t="shared" si="27"/>
        <v>-261512.24268703908</v>
      </c>
      <c r="AP17" s="106">
        <f t="shared" si="1"/>
        <v>-1168990.3843991458</v>
      </c>
      <c r="AQ17" s="106">
        <f t="shared" si="1"/>
        <v>-291034.66437405348</v>
      </c>
      <c r="AR17" s="106">
        <f t="shared" si="28"/>
        <v>-32445.647921847878</v>
      </c>
      <c r="AS17" s="106">
        <f t="shared" si="2"/>
        <v>-129782.59168739151</v>
      </c>
      <c r="AT17" s="106">
        <f t="shared" si="2"/>
        <v>-105277.02011669008</v>
      </c>
      <c r="AU17" s="239">
        <f t="shared" si="29"/>
        <v>0</v>
      </c>
      <c r="AV17" s="239">
        <f t="shared" si="3"/>
        <v>0</v>
      </c>
      <c r="AW17" s="239">
        <f t="shared" si="3"/>
        <v>0</v>
      </c>
      <c r="AX17" s="240">
        <f t="shared" si="30"/>
        <v>16.620880241496987</v>
      </c>
      <c r="AY17" s="240">
        <f t="shared" si="4"/>
        <v>16.444482253880789</v>
      </c>
      <c r="AZ17" s="240">
        <f t="shared" si="4"/>
        <v>14.60866697561527</v>
      </c>
      <c r="BA17" s="240">
        <f t="shared" si="4"/>
        <v>16.54979903685285</v>
      </c>
      <c r="BB17" s="240">
        <f t="shared" si="5"/>
        <v>16.364500509118397</v>
      </c>
      <c r="BC17" s="240">
        <f t="shared" si="5"/>
        <v>14.548103372155524</v>
      </c>
      <c r="BD17" s="227">
        <f t="shared" si="31"/>
        <v>-7.1081204644137586E-2</v>
      </c>
      <c r="BE17" s="227">
        <f t="shared" si="6"/>
        <v>-7.9981744762392282E-2</v>
      </c>
      <c r="BF17" s="227">
        <f t="shared" si="6"/>
        <v>-6.0563603459746318E-2</v>
      </c>
      <c r="BG17" s="228">
        <f t="shared" si="32"/>
        <v>48.214871493841088</v>
      </c>
      <c r="BH17" s="228">
        <f t="shared" si="7"/>
        <v>47.377269320598472</v>
      </c>
      <c r="BI17" s="228">
        <f t="shared" si="7"/>
        <v>50.68515368216233</v>
      </c>
      <c r="BJ17" s="228">
        <f t="shared" si="7"/>
        <v>49.269111133283467</v>
      </c>
      <c r="BK17" s="228">
        <f t="shared" si="8"/>
        <v>48.384647851254591</v>
      </c>
      <c r="BL17" s="228">
        <f t="shared" si="8"/>
        <v>54.627243624176927</v>
      </c>
      <c r="BM17" s="228">
        <f t="shared" si="33"/>
        <v>1.054239639442379</v>
      </c>
      <c r="BN17" s="228">
        <f t="shared" si="9"/>
        <v>1.0073785306561192</v>
      </c>
      <c r="BO17" s="228">
        <f t="shared" si="9"/>
        <v>3.9420899420145972</v>
      </c>
    </row>
    <row r="18" spans="1:67" x14ac:dyDescent="0.25">
      <c r="A18" s="203">
        <v>2033</v>
      </c>
      <c r="B18" s="103">
        <f t="shared" si="34"/>
        <v>3680721.0390674351</v>
      </c>
      <c r="C18" s="103">
        <f t="shared" si="34"/>
        <v>14621630.837805394</v>
      </c>
      <c r="D18" s="103">
        <f t="shared" si="34"/>
        <v>4897714.483269453</v>
      </c>
      <c r="E18" s="103">
        <f t="shared" si="34"/>
        <v>3680721.0390674351</v>
      </c>
      <c r="F18" s="103">
        <f t="shared" si="34"/>
        <v>14621630.837805394</v>
      </c>
      <c r="G18" s="103">
        <f t="shared" si="34"/>
        <v>4897714.483269453</v>
      </c>
      <c r="H18" s="103">
        <f t="shared" si="11"/>
        <v>61158585.084244125</v>
      </c>
      <c r="I18" s="103">
        <f t="shared" si="12"/>
        <v>240402358.16075957</v>
      </c>
      <c r="J18" s="103">
        <f t="shared" si="13"/>
        <v>71483316.252231553</v>
      </c>
      <c r="K18" s="103">
        <f t="shared" si="14"/>
        <v>60891963.573837958</v>
      </c>
      <c r="L18" s="103">
        <f t="shared" si="15"/>
        <v>239196859.97688475</v>
      </c>
      <c r="M18" s="103">
        <f t="shared" si="16"/>
        <v>71194423.004033431</v>
      </c>
      <c r="N18" s="103">
        <f t="shared" si="17"/>
        <v>1268597.5345028338</v>
      </c>
      <c r="O18" s="103">
        <f t="shared" si="18"/>
        <v>5074390.1380113354</v>
      </c>
      <c r="P18" s="103">
        <f t="shared" si="19"/>
        <v>1414995.7473354544</v>
      </c>
      <c r="Q18" s="103">
        <f t="shared" si="20"/>
        <v>1236440.613231414</v>
      </c>
      <c r="R18" s="103">
        <f t="shared" si="21"/>
        <v>4945762.452925656</v>
      </c>
      <c r="S18" s="103">
        <f t="shared" si="22"/>
        <v>1306365.1840288392</v>
      </c>
      <c r="T18" s="235">
        <f t="shared" si="23"/>
        <v>0.08</v>
      </c>
      <c r="U18" s="235">
        <f t="shared" si="24"/>
        <v>0.08</v>
      </c>
      <c r="V18" s="235">
        <f t="shared" si="25"/>
        <v>0.08</v>
      </c>
      <c r="W18" s="241">
        <v>0.08</v>
      </c>
      <c r="X18" s="241">
        <v>0.08</v>
      </c>
      <c r="Y18" s="241">
        <v>0.08</v>
      </c>
      <c r="Z18" s="102">
        <f>IFERROR((-1.5*T18^4+2.05*T18^3+0.16*T18^2+0.04*T18+0.025)*N18,0)*'Fixed Factors'!$I$13</f>
        <v>53274.629646327143</v>
      </c>
      <c r="AA18" s="102">
        <f>IFERROR((-1.5*U18^4+2.05*U18^3+0.16*U18^2+0.04*U18+0.025)*O18,0)*'Fixed Factors'!$I$14</f>
        <v>213098.51858530857</v>
      </c>
      <c r="AB18" s="102">
        <f>IFERROR((-1.5*V18^4+2.05*V18^3+0.16*V18^2+0.04*V18+0.025)*P18,0)*'Fixed Factors'!$I$15</f>
        <v>42750.077917818329</v>
      </c>
      <c r="AC18" s="103">
        <f>IFERROR((-1.5*(W18)^4+2.05*(W18)^3+0.16*(W18)^2+0.04*W18+0.025)*Q18,0)*'Fixed Factors'!$I$13</f>
        <v>51924.202876049378</v>
      </c>
      <c r="AD18" s="103">
        <f>IFERROR((-1.5*(X18)^4+2.05*(X18)^3+0.16*(X18)^2+0.04*X18+0.025)*R18,0)*'Fixed Factors'!$I$14</f>
        <v>207696.81150419751</v>
      </c>
      <c r="AE18" s="103">
        <f>IFERROR((-1.5*(Y18)^4+2.05*(Y18)^3+0.16*(Y18)^2+0.04*Y18+0.025)*S18,0)*'Fixed Factors'!$I$15</f>
        <v>39468.113958308735</v>
      </c>
      <c r="AF18" s="224">
        <f>H18/$AF$1*'Network Crash Rates'!$D$4+'Network Model Data'!I18/$AF$1*'Network Crash Rates'!$D$5+'Network Model Data'!J18/$AF$1*'Network Crash Rates'!$D$6</f>
        <v>2.900792161850501</v>
      </c>
      <c r="AG18" s="224">
        <f>H18/'Network Model Data'!$AF$1*'Network Crash Rates'!$E$4+I18/'Network Model Data'!$AF$1*'Network Crash Rates'!$E$5+J18/'Network Model Data'!$AF$1*'Network Crash Rates'!$E$6</f>
        <v>130.54049685864601</v>
      </c>
      <c r="AH18" s="224">
        <f>H18/$AF$1*'Network Crash Rates'!$F$4+I18/$AF$1*'Network Crash Rates'!$F$5+J18/$AF$1*'Network Crash Rates'!$F$6</f>
        <v>472.84665546182816</v>
      </c>
      <c r="AI18" s="224">
        <f>K18/$AF$1*'Network Crash Rates'!$D$7+L18/$AF$1*'Network Crash Rates'!$D$8+M18/$AF$1*'Network Crash Rates'!$D$9</f>
        <v>2.8870985252097832</v>
      </c>
      <c r="AJ18" s="225">
        <f>K18/$AF$1*'Network Crash Rates'!$E$7+L18/$AF$1*'Network Crash Rates'!$E$8+M18/$AF$1*'Network Crash Rates'!$E$9</f>
        <v>129.92426031664547</v>
      </c>
      <c r="AK18" s="225">
        <f>K18/$AF$1*'Network Crash Rates'!$F$7+L18/$AF$1*'Network Crash Rates'!$F$8+M18/$AF$1*'Network Crash Rates'!$F$9</f>
        <v>470.61450992178283</v>
      </c>
      <c r="AL18" s="238">
        <f t="shared" si="26"/>
        <v>0</v>
      </c>
      <c r="AM18" s="238">
        <f t="shared" si="0"/>
        <v>0</v>
      </c>
      <c r="AN18" s="238">
        <f t="shared" si="0"/>
        <v>0</v>
      </c>
      <c r="AO18" s="106">
        <f t="shared" si="27"/>
        <v>-266621.51040616632</v>
      </c>
      <c r="AP18" s="106">
        <f t="shared" si="1"/>
        <v>-1205498.1838748157</v>
      </c>
      <c r="AQ18" s="106">
        <f t="shared" si="1"/>
        <v>-288893.24819812179</v>
      </c>
      <c r="AR18" s="106">
        <f t="shared" si="28"/>
        <v>-32156.921271419851</v>
      </c>
      <c r="AS18" s="106">
        <f t="shared" si="2"/>
        <v>-128627.6850856794</v>
      </c>
      <c r="AT18" s="106">
        <f t="shared" si="2"/>
        <v>-108630.56330661522</v>
      </c>
      <c r="AU18" s="239">
        <f t="shared" si="29"/>
        <v>0</v>
      </c>
      <c r="AV18" s="239">
        <f t="shared" si="3"/>
        <v>0</v>
      </c>
      <c r="AW18" s="239">
        <f t="shared" si="3"/>
        <v>0</v>
      </c>
      <c r="AX18" s="240">
        <f t="shared" si="30"/>
        <v>16.615925095953362</v>
      </c>
      <c r="AY18" s="240">
        <f t="shared" si="4"/>
        <v>16.4415557216217</v>
      </c>
      <c r="AZ18" s="240">
        <f t="shared" si="4"/>
        <v>14.595239574788994</v>
      </c>
      <c r="BA18" s="240">
        <f t="shared" si="4"/>
        <v>16.543487791529518</v>
      </c>
      <c r="BB18" s="240">
        <f t="shared" si="5"/>
        <v>16.359109502232965</v>
      </c>
      <c r="BC18" s="240">
        <f t="shared" si="5"/>
        <v>14.536254256395083</v>
      </c>
      <c r="BD18" s="227">
        <f t="shared" si="31"/>
        <v>-7.2437304423843329E-2</v>
      </c>
      <c r="BE18" s="227">
        <f t="shared" si="6"/>
        <v>-8.2446219388735642E-2</v>
      </c>
      <c r="BF18" s="227">
        <f t="shared" si="6"/>
        <v>-5.8985318393911967E-2</v>
      </c>
      <c r="BG18" s="228">
        <f t="shared" si="32"/>
        <v>48.209604244747574</v>
      </c>
      <c r="BH18" s="228">
        <f t="shared" si="7"/>
        <v>47.37561591095433</v>
      </c>
      <c r="BI18" s="228">
        <f t="shared" si="7"/>
        <v>50.518396530053266</v>
      </c>
      <c r="BJ18" s="228">
        <f t="shared" si="7"/>
        <v>49.247786688839</v>
      </c>
      <c r="BK18" s="228">
        <f t="shared" si="8"/>
        <v>48.364000951034015</v>
      </c>
      <c r="BL18" s="228">
        <f t="shared" si="8"/>
        <v>54.498101965998011</v>
      </c>
      <c r="BM18" s="228">
        <f t="shared" si="33"/>
        <v>1.0381824440914258</v>
      </c>
      <c r="BN18" s="228">
        <f t="shared" si="9"/>
        <v>0.98838504007968453</v>
      </c>
      <c r="BO18" s="228">
        <f t="shared" si="9"/>
        <v>3.9797054359447444</v>
      </c>
    </row>
    <row r="19" spans="1:67" x14ac:dyDescent="0.25">
      <c r="A19" s="203">
        <v>2034</v>
      </c>
      <c r="B19" s="103">
        <f t="shared" si="34"/>
        <v>3682379.6467375718</v>
      </c>
      <c r="C19" s="103">
        <f t="shared" si="34"/>
        <v>14627549.098261109</v>
      </c>
      <c r="D19" s="103">
        <f t="shared" si="34"/>
        <v>4991762.5142298033</v>
      </c>
      <c r="E19" s="103">
        <f t="shared" si="34"/>
        <v>3682379.6467375718</v>
      </c>
      <c r="F19" s="103">
        <f t="shared" si="34"/>
        <v>14627549.098261109</v>
      </c>
      <c r="G19" s="103">
        <f t="shared" si="34"/>
        <v>4991762.5142298033</v>
      </c>
      <c r="H19" s="103">
        <f t="shared" si="11"/>
        <v>61167903.097813822</v>
      </c>
      <c r="I19" s="103">
        <f t="shared" si="12"/>
        <v>240456863.19380847</v>
      </c>
      <c r="J19" s="103">
        <f t="shared" si="13"/>
        <v>72789005.006125778</v>
      </c>
      <c r="K19" s="103">
        <f t="shared" si="14"/>
        <v>60896171.190953813</v>
      </c>
      <c r="L19" s="103">
        <f t="shared" si="15"/>
        <v>239214846.20800859</v>
      </c>
      <c r="M19" s="103">
        <f t="shared" si="16"/>
        <v>72502429.297251374</v>
      </c>
      <c r="N19" s="103">
        <f t="shared" si="17"/>
        <v>1268929.4403770806</v>
      </c>
      <c r="O19" s="103">
        <f t="shared" si="18"/>
        <v>5075717.7615083223</v>
      </c>
      <c r="P19" s="103">
        <f t="shared" si="19"/>
        <v>1445597.6566281572</v>
      </c>
      <c r="Q19" s="103">
        <f t="shared" si="20"/>
        <v>1237061.470537876</v>
      </c>
      <c r="R19" s="103">
        <f t="shared" si="21"/>
        <v>4948245.882151504</v>
      </c>
      <c r="S19" s="103">
        <f t="shared" si="22"/>
        <v>1333518.6431134762</v>
      </c>
      <c r="T19" s="235">
        <f t="shared" si="23"/>
        <v>0.08</v>
      </c>
      <c r="U19" s="235">
        <f t="shared" si="24"/>
        <v>0.08</v>
      </c>
      <c r="V19" s="235">
        <f t="shared" si="25"/>
        <v>0.08</v>
      </c>
      <c r="W19" s="241">
        <v>0.08</v>
      </c>
      <c r="X19" s="241">
        <v>0.08</v>
      </c>
      <c r="Y19" s="241">
        <v>0.08</v>
      </c>
      <c r="Z19" s="102">
        <f>IFERROR((-1.5*T19^4+2.05*T19^3+0.16*T19^2+0.04*T19+0.025)*N19,0)*'Fixed Factors'!$I$13</f>
        <v>53288.568001122119</v>
      </c>
      <c r="AA19" s="102">
        <f>IFERROR((-1.5*U19^4+2.05*U19^3+0.16*U19^2+0.04*U19+0.025)*O19,0)*'Fixed Factors'!$I$14</f>
        <v>213154.27200448848</v>
      </c>
      <c r="AB19" s="102">
        <f>IFERROR((-1.5*V19^4+2.05*V19^3+0.16*V19^2+0.04*V19+0.025)*P19,0)*'Fixed Factors'!$I$15</f>
        <v>43674.62769767495</v>
      </c>
      <c r="AC19" s="103">
        <f>IFERROR((-1.5*(W19)^4+2.05*(W19)^3+0.16*(W19)^2+0.04*W19+0.025)*Q19,0)*'Fixed Factors'!$I$13</f>
        <v>51950.275718038574</v>
      </c>
      <c r="AD19" s="103">
        <f>IFERROR((-1.5*(X19)^4+2.05*(X19)^3+0.16*(X19)^2+0.04*X19+0.025)*R19,0)*'Fixed Factors'!$I$14</f>
        <v>207801.1028721543</v>
      </c>
      <c r="AE19" s="103">
        <f>IFERROR((-1.5*(Y19)^4+2.05*(Y19)^3+0.16*(Y19)^2+0.04*Y19+0.025)*S19,0)*'Fixed Factors'!$I$15</f>
        <v>40288.478608727244</v>
      </c>
      <c r="AF19" s="224">
        <f>H19/$AF$1*'Network Crash Rates'!$D$4+'Network Model Data'!I19/$AF$1*'Network Crash Rates'!$D$5+'Network Model Data'!J19/$AF$1*'Network Crash Rates'!$D$6</f>
        <v>2.9114414856112889</v>
      </c>
      <c r="AG19" s="224">
        <f>H19/'Network Model Data'!$AF$1*'Network Crash Rates'!$E$4+I19/'Network Model Data'!$AF$1*'Network Crash Rates'!$E$5+J19/'Network Model Data'!$AF$1*'Network Crash Rates'!$E$6</f>
        <v>131.01973423153487</v>
      </c>
      <c r="AH19" s="224">
        <f>H19/$AF$1*'Network Crash Rates'!$F$4+I19/$AF$1*'Network Crash Rates'!$F$5+J19/$AF$1*'Network Crash Rates'!$F$6</f>
        <v>474.58255960189115</v>
      </c>
      <c r="AI19" s="224">
        <f>K19/$AF$1*'Network Crash Rates'!$D$7+L19/$AF$1*'Network Crash Rates'!$D$8+M19/$AF$1*'Network Crash Rates'!$D$9</f>
        <v>2.8974421615097583</v>
      </c>
      <c r="AJ19" s="225">
        <f>K19/$AF$1*'Network Crash Rates'!$E$7+L19/$AF$1*'Network Crash Rates'!$E$8+M19/$AF$1*'Network Crash Rates'!$E$9</f>
        <v>130.38974124274617</v>
      </c>
      <c r="AK19" s="225">
        <f>K19/$AF$1*'Network Crash Rates'!$F$7+L19/$AF$1*'Network Crash Rates'!$F$8+M19/$AF$1*'Network Crash Rates'!$F$9</f>
        <v>472.30058515808537</v>
      </c>
      <c r="AL19" s="238">
        <f>E19-B19</f>
        <v>0</v>
      </c>
      <c r="AM19" s="238">
        <f t="shared" si="0"/>
        <v>0</v>
      </c>
      <c r="AN19" s="238">
        <f t="shared" si="0"/>
        <v>0</v>
      </c>
      <c r="AO19" s="106">
        <f t="shared" si="27"/>
        <v>-271731.90686000884</v>
      </c>
      <c r="AP19" s="106">
        <f t="shared" si="1"/>
        <v>-1242016.9857998788</v>
      </c>
      <c r="AQ19" s="106">
        <f t="shared" si="1"/>
        <v>-286575.70887440443</v>
      </c>
      <c r="AR19" s="106">
        <f t="shared" si="28"/>
        <v>-31867.969839204568</v>
      </c>
      <c r="AS19" s="106">
        <f t="shared" si="2"/>
        <v>-127471.87935681827</v>
      </c>
      <c r="AT19" s="106">
        <f t="shared" si="2"/>
        <v>-112079.01351468102</v>
      </c>
      <c r="AU19" s="239">
        <f t="shared" si="29"/>
        <v>0</v>
      </c>
      <c r="AV19" s="239">
        <f t="shared" si="3"/>
        <v>0</v>
      </c>
      <c r="AW19" s="239">
        <f t="shared" si="3"/>
        <v>0</v>
      </c>
      <c r="AX19" s="240">
        <f t="shared" si="30"/>
        <v>16.610971427676102</v>
      </c>
      <c r="AY19" s="240">
        <f t="shared" si="4"/>
        <v>16.438629710181143</v>
      </c>
      <c r="AZ19" s="240">
        <f t="shared" si="4"/>
        <v>14.581824515615333</v>
      </c>
      <c r="BA19" s="240">
        <f t="shared" si="4"/>
        <v>16.537178952991763</v>
      </c>
      <c r="BB19" s="240">
        <f t="shared" si="5"/>
        <v>16.353720271323233</v>
      </c>
      <c r="BC19" s="240">
        <f t="shared" si="5"/>
        <v>14.524414791483331</v>
      </c>
      <c r="BD19" s="227">
        <f t="shared" si="31"/>
        <v>-7.3792474684339027E-2</v>
      </c>
      <c r="BE19" s="227">
        <f t="shared" si="6"/>
        <v>-8.4909438857909691E-2</v>
      </c>
      <c r="BF19" s="227">
        <f t="shared" si="6"/>
        <v>-5.7409724132002182E-2</v>
      </c>
      <c r="BG19" s="228">
        <f t="shared" si="32"/>
        <v>48.204337571076373</v>
      </c>
      <c r="BH19" s="228">
        <f t="shared" si="7"/>
        <v>47.373962559012199</v>
      </c>
      <c r="BI19" s="228">
        <f t="shared" si="7"/>
        <v>50.352188018833289</v>
      </c>
      <c r="BJ19" s="228">
        <f t="shared" si="7"/>
        <v>49.226471473948727</v>
      </c>
      <c r="BK19" s="228">
        <f t="shared" si="8"/>
        <v>48.343362861345454</v>
      </c>
      <c r="BL19" s="228">
        <f t="shared" si="8"/>
        <v>54.369265605446621</v>
      </c>
      <c r="BM19" s="228">
        <f t="shared" si="33"/>
        <v>1.0221339028723548</v>
      </c>
      <c r="BN19" s="228">
        <f t="shared" si="9"/>
        <v>0.96940030233325558</v>
      </c>
      <c r="BO19" s="228">
        <f t="shared" si="9"/>
        <v>4.0170775866133326</v>
      </c>
    </row>
    <row r="20" spans="1:67" x14ac:dyDescent="0.25">
      <c r="A20" s="203">
        <v>2035</v>
      </c>
      <c r="B20" s="103">
        <f t="shared" si="34"/>
        <v>3684039.001810018</v>
      </c>
      <c r="C20" s="103">
        <f t="shared" si="34"/>
        <v>14633469.754195636</v>
      </c>
      <c r="D20" s="103">
        <f t="shared" si="34"/>
        <v>5087616.4961408945</v>
      </c>
      <c r="E20" s="103">
        <f t="shared" si="34"/>
        <v>3684039.001810018</v>
      </c>
      <c r="F20" s="103">
        <f t="shared" si="34"/>
        <v>14633469.754195636</v>
      </c>
      <c r="G20" s="103">
        <f t="shared" si="34"/>
        <v>5087616.4961408945</v>
      </c>
      <c r="H20" s="103">
        <f t="shared" si="11"/>
        <v>61177222.531059541</v>
      </c>
      <c r="I20" s="103">
        <f t="shared" si="12"/>
        <v>240511380.58446756</v>
      </c>
      <c r="J20" s="103">
        <f t="shared" si="13"/>
        <v>74118543.005010694</v>
      </c>
      <c r="K20" s="103">
        <f t="shared" si="14"/>
        <v>60900379.098814793</v>
      </c>
      <c r="L20" s="103">
        <f t="shared" si="15"/>
        <v>239232833.79159379</v>
      </c>
      <c r="M20" s="103">
        <f t="shared" si="16"/>
        <v>73834466.692779124</v>
      </c>
      <c r="N20" s="103">
        <f t="shared" si="17"/>
        <v>1269261.4330885678</v>
      </c>
      <c r="O20" s="103">
        <f t="shared" si="18"/>
        <v>5077045.7323542712</v>
      </c>
      <c r="P20" s="103">
        <f t="shared" si="19"/>
        <v>1476861.3890069877</v>
      </c>
      <c r="Q20" s="103">
        <f t="shared" si="20"/>
        <v>1237682.6395971151</v>
      </c>
      <c r="R20" s="103">
        <f t="shared" si="21"/>
        <v>4950730.5583884604</v>
      </c>
      <c r="S20" s="103">
        <f t="shared" si="22"/>
        <v>1361236.5005373182</v>
      </c>
      <c r="T20" s="235">
        <f t="shared" si="23"/>
        <v>0.08</v>
      </c>
      <c r="U20" s="235">
        <f t="shared" si="24"/>
        <v>0.08</v>
      </c>
      <c r="V20" s="235">
        <f t="shared" si="25"/>
        <v>0.08</v>
      </c>
      <c r="W20" s="241">
        <v>0.08</v>
      </c>
      <c r="X20" s="241">
        <v>0.08</v>
      </c>
      <c r="Y20" s="241">
        <v>0.08</v>
      </c>
      <c r="Z20" s="102">
        <f>IFERROR((-1.5*T20^4+2.05*T20^3+0.16*T20^2+0.04*T20+0.025)*N20,0)*'Fixed Factors'!$I$13</f>
        <v>53302.510002638541</v>
      </c>
      <c r="AA20" s="102">
        <f>IFERROR((-1.5*U20^4+2.05*U20^3+0.16*U20^2+0.04*U20+0.025)*O20,0)*'Fixed Factors'!$I$14</f>
        <v>213210.04001055416</v>
      </c>
      <c r="AB20" s="102">
        <f>IFERROR((-1.5*V20^4+2.05*V20^3+0.16*V20^2+0.04*V20+0.025)*P20,0)*'Fixed Factors'!$I$15</f>
        <v>44619.172582501356</v>
      </c>
      <c r="AC20" s="103">
        <f>IFERROR((-1.5*(W20)^4+2.05*(W20)^3+0.16*(W20)^2+0.04*W20+0.025)*Q20,0)*'Fixed Factors'!$I$13</f>
        <v>51976.361652055224</v>
      </c>
      <c r="AD20" s="103">
        <f>IFERROR((-1.5*(X20)^4+2.05*(X20)^3+0.16*(X20)^2+0.04*X20+0.025)*R20,0)*'Fixed Factors'!$I$14</f>
        <v>207905.4466082209</v>
      </c>
      <c r="AE20" s="103">
        <f>IFERROR((-1.5*(Y20)^4+2.05*(Y20)^3+0.16*(Y20)^2+0.04*Y20+0.025)*S20,0)*'Fixed Factors'!$I$15</f>
        <v>41125.894952073548</v>
      </c>
      <c r="AF20" s="224">
        <f>H20/$AF$1*'Network Crash Rates'!$D$4+'Network Model Data'!I20/$AF$1*'Network Crash Rates'!$D$5+'Network Model Data'!J20/$AF$1*'Network Crash Rates'!$D$6</f>
        <v>2.9222763682333017</v>
      </c>
      <c r="AG20" s="224">
        <f>H20/'Network Model Data'!$AF$1*'Network Crash Rates'!$E$4+I20/'Network Model Data'!$AF$1*'Network Crash Rates'!$E$5+J20/'Network Model Data'!$AF$1*'Network Crash Rates'!$E$6</f>
        <v>131.50732206339814</v>
      </c>
      <c r="AH20" s="224">
        <f>H20/$AF$1*'Network Crash Rates'!$F$4+I20/$AF$1*'Network Crash Rates'!$F$5+J20/$AF$1*'Network Crash Rates'!$F$6</f>
        <v>476.34871095789583</v>
      </c>
      <c r="AI20" s="224">
        <f>K20/$AF$1*'Network Crash Rates'!$D$7+L20/$AF$1*'Network Crash Rates'!$D$8+M20/$AF$1*'Network Crash Rates'!$D$9</f>
        <v>2.9079726764388676</v>
      </c>
      <c r="AJ20" s="225">
        <f>K20/$AF$1*'Network Crash Rates'!$E$7+L20/$AF$1*'Network Crash Rates'!$E$8+M20/$AF$1*'Network Crash Rates'!$E$9</f>
        <v>130.8636320195836</v>
      </c>
      <c r="AK20" s="225">
        <f>K20/$AF$1*'Network Crash Rates'!$F$7+L20/$AF$1*'Network Crash Rates'!$F$8+M20/$AF$1*'Network Crash Rates'!$F$9</f>
        <v>474.01712274047588</v>
      </c>
      <c r="AL20" s="238">
        <f t="shared" ref="AL20:AN29" si="35">E20-B20</f>
        <v>0</v>
      </c>
      <c r="AM20" s="238">
        <f t="shared" si="0"/>
        <v>0</v>
      </c>
      <c r="AN20" s="238">
        <f t="shared" si="0"/>
        <v>0</v>
      </c>
      <c r="AO20" s="106">
        <f t="shared" si="27"/>
        <v>-276843.43224474788</v>
      </c>
      <c r="AP20" s="106">
        <f t="shared" si="1"/>
        <v>-1278546.79287377</v>
      </c>
      <c r="AQ20" s="106">
        <f t="shared" si="1"/>
        <v>-284076.31223157048</v>
      </c>
      <c r="AR20" s="106">
        <f t="shared" si="28"/>
        <v>-31578.7934914527</v>
      </c>
      <c r="AS20" s="106">
        <f t="shared" si="2"/>
        <v>-126315.1739658108</v>
      </c>
      <c r="AT20" s="106">
        <f t="shared" si="2"/>
        <v>-115624.8884696695</v>
      </c>
      <c r="AU20" s="239">
        <f t="shared" si="29"/>
        <v>0</v>
      </c>
      <c r="AV20" s="239">
        <f t="shared" si="3"/>
        <v>0</v>
      </c>
      <c r="AW20" s="239">
        <f t="shared" si="3"/>
        <v>0</v>
      </c>
      <c r="AX20" s="240">
        <f t="shared" si="30"/>
        <v>16.606019236224792</v>
      </c>
      <c r="AY20" s="240">
        <f t="shared" si="4"/>
        <v>16.435704219466427</v>
      </c>
      <c r="AZ20" s="240">
        <f t="shared" si="4"/>
        <v>14.568421786750587</v>
      </c>
      <c r="BA20" s="240">
        <f t="shared" si="4"/>
        <v>16.530872520321751</v>
      </c>
      <c r="BB20" s="240">
        <f t="shared" si="5"/>
        <v>16.348332815804135</v>
      </c>
      <c r="BC20" s="240">
        <f t="shared" si="5"/>
        <v>14.512584969559857</v>
      </c>
      <c r="BD20" s="227">
        <f t="shared" si="31"/>
        <v>-7.5146715903041894E-2</v>
      </c>
      <c r="BE20" s="227">
        <f t="shared" si="6"/>
        <v>-8.7371403662292124E-2</v>
      </c>
      <c r="BF20" s="227">
        <f t="shared" si="6"/>
        <v>-5.5836817190730414E-2</v>
      </c>
      <c r="BG20" s="228">
        <f t="shared" si="32"/>
        <v>48.199071472764629</v>
      </c>
      <c r="BH20" s="228">
        <f t="shared" si="7"/>
        <v>47.372309264770067</v>
      </c>
      <c r="BI20" s="228">
        <f t="shared" si="7"/>
        <v>50.186526343441436</v>
      </c>
      <c r="BJ20" s="228">
        <f t="shared" si="7"/>
        <v>49.205165484617936</v>
      </c>
      <c r="BK20" s="228">
        <f t="shared" si="8"/>
        <v>48.322733578429236</v>
      </c>
      <c r="BL20" s="228">
        <f t="shared" si="8"/>
        <v>54.240733820783227</v>
      </c>
      <c r="BM20" s="228">
        <f t="shared" si="33"/>
        <v>1.0060940118533068</v>
      </c>
      <c r="BN20" s="228">
        <f t="shared" si="9"/>
        <v>0.95042431365916968</v>
      </c>
      <c r="BO20" s="228">
        <f t="shared" si="9"/>
        <v>4.0542074773417909</v>
      </c>
    </row>
    <row r="21" spans="1:67" s="221" customFormat="1" x14ac:dyDescent="0.25">
      <c r="A21" s="222">
        <v>2036</v>
      </c>
      <c r="B21" s="103">
        <f t="shared" si="34"/>
        <v>3685699.1046215664</v>
      </c>
      <c r="C21" s="103">
        <f t="shared" si="34"/>
        <v>14639392.806578567</v>
      </c>
      <c r="D21" s="103">
        <f t="shared" si="34"/>
        <v>5185311.1076536588</v>
      </c>
      <c r="E21" s="103">
        <f t="shared" si="34"/>
        <v>3685699.1046215664</v>
      </c>
      <c r="F21" s="103">
        <f t="shared" si="34"/>
        <v>14639392.806578567</v>
      </c>
      <c r="G21" s="103">
        <f t="shared" si="34"/>
        <v>5185311.1076536588</v>
      </c>
      <c r="H21" s="103">
        <f t="shared" ref="H21:S24" si="36">IFERROR(H20*(1+H$30),0)</f>
        <v>61186543.384197585</v>
      </c>
      <c r="I21" s="103">
        <f t="shared" si="36"/>
        <v>240565910.3355386</v>
      </c>
      <c r="J21" s="103">
        <f t="shared" si="36"/>
        <v>75472365.870687366</v>
      </c>
      <c r="K21" s="103">
        <f t="shared" si="36"/>
        <v>60904587.297440991</v>
      </c>
      <c r="L21" s="103">
        <f t="shared" si="36"/>
        <v>239250822.72774205</v>
      </c>
      <c r="M21" s="103">
        <f t="shared" si="36"/>
        <v>75190976.697573662</v>
      </c>
      <c r="N21" s="103">
        <f t="shared" si="36"/>
        <v>1269593.5126600151</v>
      </c>
      <c r="O21" s="103">
        <f t="shared" si="36"/>
        <v>5078374.0506400606</v>
      </c>
      <c r="P21" s="103">
        <f t="shared" si="36"/>
        <v>1508801.2576245381</v>
      </c>
      <c r="Q21" s="103">
        <f t="shared" si="36"/>
        <v>1238304.1205656729</v>
      </c>
      <c r="R21" s="103">
        <f t="shared" si="36"/>
        <v>4953216.4822626915</v>
      </c>
      <c r="S21" s="103">
        <f t="shared" si="36"/>
        <v>1389530.4876044434</v>
      </c>
      <c r="T21" s="383">
        <v>0.125</v>
      </c>
      <c r="U21" s="383">
        <v>0.125</v>
      </c>
      <c r="V21" s="383">
        <v>0.125</v>
      </c>
      <c r="W21" s="297">
        <v>0.125</v>
      </c>
      <c r="X21" s="297">
        <v>0.125</v>
      </c>
      <c r="Y21" s="297">
        <v>0.125</v>
      </c>
      <c r="Z21" s="220">
        <f>IFERROR((-1.5*T21^4+2.05*T21^3+0.16*T21^2+0.04*T21+0.025)*N21,0)*'Fixed Factors'!$I$13</f>
        <v>63773.455108415597</v>
      </c>
      <c r="AA21" s="220">
        <f>IFERROR((-1.5*U21^4+2.05*U21^3+0.16*U21^2+0.04*U21+0.025)*O21,0)*'Fixed Factors'!$I$14</f>
        <v>255093.82043366239</v>
      </c>
      <c r="AB21" s="220">
        <f>IFERROR((-1.5*V21^4+2.05*V21^3+0.16*V21^2+0.04*V21+0.025)*P21,0)*'Fixed Factors'!$I$15</f>
        <v>54524.600135152381</v>
      </c>
      <c r="AC21" s="219">
        <f>IFERROR((-1.5*(W21)^4+2.05*(W21)^3+0.16*(W21)^2+0.04*W21+0.025)*Q21,0)*'Fixed Factors'!$I$13</f>
        <v>62201.745248369618</v>
      </c>
      <c r="AD21" s="219">
        <f>IFERROR((-1.5*(X21)^4+2.05*(X21)^3+0.16*(X21)^2+0.04*X21+0.025)*R21,0)*'Fixed Factors'!$I$14</f>
        <v>248806.98099347847</v>
      </c>
      <c r="AE21" s="219">
        <f>IFERROR((-1.5*(Y21)^4+2.05*(Y21)^3+0.16*(Y21)^2+0.04*Y21+0.025)*S21,0)*'Fixed Factors'!$I$15</f>
        <v>50214.429388478937</v>
      </c>
      <c r="AF21" s="224">
        <f>H21/$AF$1*'Network Crash Rates'!$D$4+'Network Model Data'!I21/$AF$1*'Network Crash Rates'!$D$5+'Network Model Data'!J21/$AF$1*'Network Crash Rates'!$D$6</f>
        <v>2.9333001971351336</v>
      </c>
      <c r="AG21" s="224">
        <f>H21/'Network Model Data'!$AF$1*'Network Crash Rates'!$E$4+I21/'Network Model Data'!$AF$1*'Network Crash Rates'!$E$5+J21/'Network Model Data'!$AF$1*'Network Crash Rates'!$E$6</f>
        <v>132.00341279373566</v>
      </c>
      <c r="AH21" s="224">
        <f>H21/$AF$1*'Network Crash Rates'!$F$4+I21/$AF$1*'Network Crash Rates'!$F$5+J21/$AF$1*'Network Crash Rates'!$F$6</f>
        <v>478.14566169954753</v>
      </c>
      <c r="AI21" s="224">
        <f>K21/$AF$1*'Network Crash Rates'!$D$7+L21/$AF$1*'Network Crash Rates'!$D$8+M21/$AF$1*'Network Crash Rates'!$D$9</f>
        <v>2.9186935031561561</v>
      </c>
      <c r="AJ21" s="224">
        <f>K21/$AF$1*'Network Crash Rates'!$E$7+L21/$AF$1*'Network Crash Rates'!$E$8+M21/$AF$1*'Network Crash Rates'!$E$9</f>
        <v>131.34608714505441</v>
      </c>
      <c r="AK21" s="224">
        <f>K21/$AF$1*'Network Crash Rates'!$F$7+L21/$AF$1*'Network Crash Rates'!$F$8+M21/$AF$1*'Network Crash Rates'!$F$9</f>
        <v>475.76468229462938</v>
      </c>
      <c r="AL21" s="238">
        <f t="shared" si="35"/>
        <v>0</v>
      </c>
      <c r="AM21" s="238">
        <f t="shared" si="35"/>
        <v>0</v>
      </c>
      <c r="AN21" s="238">
        <f t="shared" si="35"/>
        <v>0</v>
      </c>
      <c r="AO21" s="106">
        <f t="shared" si="27"/>
        <v>-281956.08675659448</v>
      </c>
      <c r="AP21" s="106">
        <f t="shared" si="27"/>
        <v>-1315087.6077965498</v>
      </c>
      <c r="AQ21" s="106">
        <f t="shared" si="27"/>
        <v>-281389.17311370373</v>
      </c>
      <c r="AR21" s="106">
        <f t="shared" si="28"/>
        <v>-31289.392094342271</v>
      </c>
      <c r="AS21" s="106">
        <f t="shared" si="28"/>
        <v>-125157.56837736908</v>
      </c>
      <c r="AT21" s="106">
        <f t="shared" si="28"/>
        <v>-119270.7700200947</v>
      </c>
      <c r="AU21" s="239">
        <f t="shared" si="29"/>
        <v>0</v>
      </c>
      <c r="AV21" s="239">
        <f t="shared" si="29"/>
        <v>0</v>
      </c>
      <c r="AW21" s="239">
        <f t="shared" si="29"/>
        <v>0</v>
      </c>
      <c r="AX21" s="240">
        <f t="shared" si="30"/>
        <v>16.60106852115916</v>
      </c>
      <c r="AY21" s="240">
        <f t="shared" si="30"/>
        <v>16.432779249384883</v>
      </c>
      <c r="AZ21" s="240">
        <f t="shared" si="30"/>
        <v>14.55503137686148</v>
      </c>
      <c r="BA21" s="240">
        <f t="shared" si="30"/>
        <v>16.524568492602015</v>
      </c>
      <c r="BB21" s="240">
        <f t="shared" si="30"/>
        <v>16.3429471350908</v>
      </c>
      <c r="BC21" s="240">
        <f t="shared" si="30"/>
        <v>14.500764782770652</v>
      </c>
      <c r="BD21" s="227">
        <f t="shared" si="31"/>
        <v>-7.6500028557145328E-2</v>
      </c>
      <c r="BE21" s="227">
        <f t="shared" si="31"/>
        <v>-8.9832114294082999E-2</v>
      </c>
      <c r="BF21" s="227">
        <f t="shared" si="31"/>
        <v>-5.4266594090828235E-2</v>
      </c>
      <c r="BG21" s="228">
        <f t="shared" si="32"/>
        <v>48.193805949749482</v>
      </c>
      <c r="BH21" s="228">
        <f t="shared" si="32"/>
        <v>47.370656028225909</v>
      </c>
      <c r="BI21" s="228">
        <f t="shared" si="32"/>
        <v>50.021409704755492</v>
      </c>
      <c r="BJ21" s="228">
        <f t="shared" si="32"/>
        <v>49.183868716853667</v>
      </c>
      <c r="BK21" s="228">
        <f t="shared" si="32"/>
        <v>48.302113098527293</v>
      </c>
      <c r="BL21" s="228">
        <f t="shared" si="32"/>
        <v>54.112505891974514</v>
      </c>
      <c r="BM21" s="228">
        <f t="shared" si="33"/>
        <v>0.99006276710418462</v>
      </c>
      <c r="BN21" s="228">
        <f t="shared" si="33"/>
        <v>0.93145707030138425</v>
      </c>
      <c r="BO21" s="228">
        <f t="shared" si="33"/>
        <v>4.0910961872190228</v>
      </c>
    </row>
    <row r="22" spans="1:67" x14ac:dyDescent="0.25">
      <c r="A22" s="203">
        <v>2037</v>
      </c>
      <c r="B22" s="103">
        <f t="shared" si="34"/>
        <v>3687359.9555091653</v>
      </c>
      <c r="C22" s="103">
        <f t="shared" si="34"/>
        <v>14645318.256379889</v>
      </c>
      <c r="D22" s="103">
        <f t="shared" si="34"/>
        <v>5284881.6933334749</v>
      </c>
      <c r="E22" s="103">
        <f t="shared" si="34"/>
        <v>3687359.9555091653</v>
      </c>
      <c r="F22" s="103">
        <f t="shared" si="34"/>
        <v>14645318.256379889</v>
      </c>
      <c r="G22" s="103">
        <f t="shared" si="34"/>
        <v>5284881.6933334749</v>
      </c>
      <c r="H22" s="103">
        <f t="shared" si="36"/>
        <v>61195865.657444283</v>
      </c>
      <c r="I22" s="103">
        <f t="shared" si="36"/>
        <v>240620452.44982398</v>
      </c>
      <c r="J22" s="103">
        <f t="shared" si="36"/>
        <v>76850917.181869313</v>
      </c>
      <c r="K22" s="103">
        <f t="shared" si="36"/>
        <v>60908795.786852501</v>
      </c>
      <c r="L22" s="103">
        <f t="shared" si="36"/>
        <v>239268813.01655507</v>
      </c>
      <c r="M22" s="103">
        <f t="shared" si="36"/>
        <v>76572408.930096403</v>
      </c>
      <c r="N22" s="103">
        <f t="shared" si="36"/>
        <v>1269925.6791141478</v>
      </c>
      <c r="O22" s="103">
        <f t="shared" si="36"/>
        <v>5079702.7164565912</v>
      </c>
      <c r="P22" s="103">
        <f t="shared" si="36"/>
        <v>1541431.8851818915</v>
      </c>
      <c r="Q22" s="103">
        <f t="shared" si="36"/>
        <v>1238925.9136001689</v>
      </c>
      <c r="R22" s="103">
        <f t="shared" si="36"/>
        <v>4955703.6544006756</v>
      </c>
      <c r="S22" s="103">
        <f t="shared" si="36"/>
        <v>1418412.5794600009</v>
      </c>
      <c r="T22" s="235">
        <f t="shared" ref="T22:V29" si="37">IFERROR(T21*(1+T$30),0)</f>
        <v>0.125</v>
      </c>
      <c r="U22" s="235">
        <f t="shared" si="37"/>
        <v>0.125</v>
      </c>
      <c r="V22" s="235">
        <f t="shared" si="37"/>
        <v>0.125</v>
      </c>
      <c r="W22" s="241">
        <v>0.125</v>
      </c>
      <c r="X22" s="241">
        <v>0.125</v>
      </c>
      <c r="Y22" s="241">
        <v>0.125</v>
      </c>
      <c r="Z22" s="102">
        <f>IFERROR((-1.5*T22^4+2.05*T22^3+0.16*T22^2+0.04*T22+0.025)*N22,0)*'Fixed Factors'!$I$13</f>
        <v>63790.140293271936</v>
      </c>
      <c r="AA22" s="102">
        <f>IFERROR((-1.5*U22^4+2.05*U22^3+0.16*U22^2+0.04*U22+0.025)*O22,0)*'Fixed Factors'!$I$14</f>
        <v>255160.56117308774</v>
      </c>
      <c r="AB22" s="102">
        <f>IFERROR((-1.5*V22^4+2.05*V22^3+0.16*V22^2+0.04*V22+0.025)*P22,0)*'Fixed Factors'!$I$15</f>
        <v>55703.795811675685</v>
      </c>
      <c r="AC22" s="103">
        <f>IFERROR((-1.5*(W22)^4+2.05*(W22)^3+0.16*(W22)^2+0.04*W22+0.025)*Q22,0)*'Fixed Factors'!$I$13</f>
        <v>62232.978780816607</v>
      </c>
      <c r="AD22" s="103">
        <f>IFERROR((-1.5*(X22)^4+2.05*(X22)^3+0.16*(X22)^2+0.04*X22+0.025)*R22,0)*'Fixed Factors'!$I$14</f>
        <v>248931.91512326643</v>
      </c>
      <c r="AE22" s="103">
        <f>IFERROR((-1.5*(Y22)^4+2.05*(Y22)^3+0.16*(Y22)^2+0.04*Y22+0.025)*S22,0)*'Fixed Factors'!$I$15</f>
        <v>51258.161623942709</v>
      </c>
      <c r="AF22" s="224">
        <f>H22/$AF$1*'Network Crash Rates'!$D$4+'Network Model Data'!I22/$AF$1*'Network Crash Rates'!$D$5+'Network Model Data'!J22/$AF$1*'Network Crash Rates'!$D$6</f>
        <v>2.9445164216083337</v>
      </c>
      <c r="AG22" s="224">
        <f>H22/'Network Model Data'!$AF$1*'Network Crash Rates'!$E$4+I22/'Network Model Data'!$AF$1*'Network Crash Rates'!$E$5+J22/'Network Model Data'!$AF$1*'Network Crash Rates'!$E$6</f>
        <v>132.50816164643379</v>
      </c>
      <c r="AH22" s="224">
        <f>H22/$AF$1*'Network Crash Rates'!$F$4+I22/$AF$1*'Network Crash Rates'!$F$5+J22/$AF$1*'Network Crash Rates'!$F$6</f>
        <v>479.97397408221696</v>
      </c>
      <c r="AI22" s="224">
        <f>K22/$AF$1*'Network Crash Rates'!$D$7+L22/$AF$1*'Network Crash Rates'!$D$8+M22/$AF$1*'Network Crash Rates'!$D$9</f>
        <v>2.9296081378957268</v>
      </c>
      <c r="AJ22" s="225">
        <f>K22/$AF$1*'Network Crash Rates'!$E$7+L22/$AF$1*'Network Crash Rates'!$E$8+M22/$AF$1*'Network Crash Rates'!$E$9</f>
        <v>131.83726395553825</v>
      </c>
      <c r="AK22" s="225">
        <f>K22/$AF$1*'Network Crash Rates'!$F$7+L22/$AF$1*'Network Crash Rates'!$F$8+M22/$AF$1*'Network Crash Rates'!$F$9</f>
        <v>477.54383372783701</v>
      </c>
      <c r="AL22" s="238">
        <f t="shared" si="35"/>
        <v>0</v>
      </c>
      <c r="AM22" s="238">
        <f t="shared" si="35"/>
        <v>0</v>
      </c>
      <c r="AN22" s="238">
        <f t="shared" si="35"/>
        <v>0</v>
      </c>
      <c r="AO22" s="106">
        <f t="shared" si="27"/>
        <v>-287069.87059178203</v>
      </c>
      <c r="AP22" s="106">
        <f t="shared" si="27"/>
        <v>-1351639.4332689047</v>
      </c>
      <c r="AQ22" s="106">
        <f t="shared" si="27"/>
        <v>-278508.25177291036</v>
      </c>
      <c r="AR22" s="106">
        <f t="shared" si="28"/>
        <v>-30999.765513978899</v>
      </c>
      <c r="AS22" s="106">
        <f t="shared" si="28"/>
        <v>-123999.06205591559</v>
      </c>
      <c r="AT22" s="106">
        <f t="shared" si="28"/>
        <v>-123019.30572189065</v>
      </c>
      <c r="AU22" s="239">
        <f t="shared" si="29"/>
        <v>0</v>
      </c>
      <c r="AV22" s="239">
        <f t="shared" si="29"/>
        <v>0</v>
      </c>
      <c r="AW22" s="239">
        <f t="shared" si="29"/>
        <v>0</v>
      </c>
      <c r="AX22" s="240">
        <f t="shared" si="30"/>
        <v>16.596119282039041</v>
      </c>
      <c r="AY22" s="240">
        <f t="shared" si="30"/>
        <v>16.429854799843856</v>
      </c>
      <c r="AZ22" s="240">
        <f t="shared" si="30"/>
        <v>14.541653274625165</v>
      </c>
      <c r="BA22" s="240">
        <f t="shared" si="30"/>
        <v>16.518266868915426</v>
      </c>
      <c r="BB22" s="240">
        <f t="shared" si="30"/>
        <v>16.337563228598547</v>
      </c>
      <c r="BC22" s="240">
        <f t="shared" si="30"/>
        <v>14.488954223268117</v>
      </c>
      <c r="BD22" s="227">
        <f t="shared" si="31"/>
        <v>-7.7852413123615349E-2</v>
      </c>
      <c r="BE22" s="227">
        <f t="shared" si="31"/>
        <v>-9.229157124530829E-2</v>
      </c>
      <c r="BF22" s="227">
        <f t="shared" si="31"/>
        <v>-5.2699051357048887E-2</v>
      </c>
      <c r="BG22" s="228">
        <f t="shared" si="32"/>
        <v>48.18854100196809</v>
      </c>
      <c r="BH22" s="228">
        <f t="shared" si="32"/>
        <v>47.369002849377715</v>
      </c>
      <c r="BI22" s="228">
        <f t="shared" si="32"/>
        <v>49.8568363095725</v>
      </c>
      <c r="BJ22" s="228">
        <f t="shared" si="32"/>
        <v>49.162581166664687</v>
      </c>
      <c r="BK22" s="228">
        <f t="shared" si="32"/>
        <v>48.281501417883177</v>
      </c>
      <c r="BL22" s="228">
        <f t="shared" si="32"/>
        <v>53.984581100689354</v>
      </c>
      <c r="BM22" s="228">
        <f t="shared" si="33"/>
        <v>0.97404016469659638</v>
      </c>
      <c r="BN22" s="228">
        <f t="shared" si="33"/>
        <v>0.91249856850546252</v>
      </c>
      <c r="BO22" s="228">
        <f t="shared" si="33"/>
        <v>4.1277447911168537</v>
      </c>
    </row>
    <row r="23" spans="1:67" x14ac:dyDescent="0.25">
      <c r="A23" s="203">
        <v>2038</v>
      </c>
      <c r="B23" s="103">
        <f t="shared" si="34"/>
        <v>3689021.5548099135</v>
      </c>
      <c r="C23" s="103">
        <f t="shared" si="34"/>
        <v>14651246.104569986</v>
      </c>
      <c r="D23" s="103">
        <f t="shared" si="34"/>
        <v>5386364.2764473483</v>
      </c>
      <c r="E23" s="103">
        <f t="shared" si="34"/>
        <v>3689021.5548099135</v>
      </c>
      <c r="F23" s="103">
        <f t="shared" si="34"/>
        <v>14651246.104569986</v>
      </c>
      <c r="G23" s="103">
        <f t="shared" si="34"/>
        <v>5386364.2764473483</v>
      </c>
      <c r="H23" s="103">
        <f t="shared" si="36"/>
        <v>61205189.351016</v>
      </c>
      <c r="I23" s="103">
        <f t="shared" si="36"/>
        <v>240675006.93012676</v>
      </c>
      <c r="J23" s="103">
        <f t="shared" si="36"/>
        <v>78254648.61952056</v>
      </c>
      <c r="K23" s="103">
        <f t="shared" si="36"/>
        <v>60913004.567069419</v>
      </c>
      <c r="L23" s="103">
        <f t="shared" si="36"/>
        <v>239286804.65813455</v>
      </c>
      <c r="M23" s="103">
        <f t="shared" si="36"/>
        <v>77979221.269340307</v>
      </c>
      <c r="N23" s="103">
        <f t="shared" si="36"/>
        <v>1270257.9324736972</v>
      </c>
      <c r="O23" s="103">
        <f t="shared" si="36"/>
        <v>5081031.7298947889</v>
      </c>
      <c r="P23" s="103">
        <f t="shared" si="36"/>
        <v>1574768.2106231817</v>
      </c>
      <c r="Q23" s="103">
        <f t="shared" si="36"/>
        <v>1239548.0188573017</v>
      </c>
      <c r="R23" s="103">
        <f t="shared" si="36"/>
        <v>4958192.0754292067</v>
      </c>
      <c r="S23" s="103">
        <f t="shared" si="36"/>
        <v>1447895.0001585698</v>
      </c>
      <c r="T23" s="235">
        <f t="shared" si="37"/>
        <v>0.125</v>
      </c>
      <c r="U23" s="235">
        <f t="shared" si="37"/>
        <v>0.125</v>
      </c>
      <c r="V23" s="235">
        <f t="shared" si="37"/>
        <v>0.125</v>
      </c>
      <c r="W23" s="241">
        <v>0.125</v>
      </c>
      <c r="X23" s="241">
        <v>0.125</v>
      </c>
      <c r="Y23" s="241">
        <v>0.125</v>
      </c>
      <c r="Z23" s="102">
        <f>IFERROR((-1.5*T23^4+2.05*T23^3+0.16*T23^2+0.04*T23+0.025)*N23,0)*'Fixed Factors'!$I$13</f>
        <v>63806.829843508734</v>
      </c>
      <c r="AA23" s="102">
        <f>IFERROR((-1.5*U23^4+2.05*U23^3+0.16*U23^2+0.04*U23+0.025)*O23,0)*'Fixed Factors'!$I$14</f>
        <v>255227.31937403494</v>
      </c>
      <c r="AB23" s="102">
        <f>IFERROR((-1.5*V23^4+2.05*V23^3+0.16*V23^2+0.04*V23+0.025)*P23,0)*'Fixed Factors'!$I$15</f>
        <v>56908.493783311365</v>
      </c>
      <c r="AC23" s="103">
        <f>IFERROR((-1.5*(W23)^4+2.05*(W23)^3+0.16*(W23)^2+0.04*W23+0.025)*Q23,0)*'Fixed Factors'!$I$13</f>
        <v>62264.227996642658</v>
      </c>
      <c r="AD23" s="103">
        <f>IFERROR((-1.5*(X23)^4+2.05*(X23)^3+0.16*(X23)^2+0.04*X23+0.025)*R23,0)*'Fixed Factors'!$I$14</f>
        <v>249056.91198657063</v>
      </c>
      <c r="AE23" s="103">
        <f>IFERROR((-1.5*(Y23)^4+2.05*(Y23)^3+0.16*(Y23)^2+0.04*Y23+0.025)*S23,0)*'Fixed Factors'!$I$15</f>
        <v>52323.588360222537</v>
      </c>
      <c r="AF23" s="224">
        <f>H23/$AF$1*'Network Crash Rates'!$D$4+'Network Model Data'!I23/$AF$1*'Network Crash Rates'!$D$5+'Network Model Data'!J23/$AF$1*'Network Crash Rates'!$D$6</f>
        <v>2.9559285539475577</v>
      </c>
      <c r="AG23" s="224">
        <f>H23/'Network Model Data'!$AF$1*'Network Crash Rates'!$E$4+I23/'Network Model Data'!$AF$1*'Network Crash Rates'!$E$5+J23/'Network Model Data'!$AF$1*'Network Crash Rates'!$E$6</f>
        <v>133.02172668062383</v>
      </c>
      <c r="AH23" s="224">
        <f>H23/$AF$1*'Network Crash Rates'!$F$4+I23/$AF$1*'Network Crash Rates'!$F$5+J23/$AF$1*'Network Crash Rates'!$F$6</f>
        <v>481.83422063116228</v>
      </c>
      <c r="AI23" s="224">
        <f>K23/$AF$1*'Network Crash Rates'!$D$7+L23/$AF$1*'Network Crash Rates'!$D$8+M23/$AF$1*'Network Crash Rates'!$D$9</f>
        <v>2.9407201411255759</v>
      </c>
      <c r="AJ23" s="225">
        <f>K23/$AF$1*'Network Crash Rates'!$E$7+L23/$AF$1*'Network Crash Rates'!$E$8+M23/$AF$1*'Network Crash Rates'!$E$9</f>
        <v>132.33732267804734</v>
      </c>
      <c r="AK23" s="225">
        <f>K23/$AF$1*'Network Crash Rates'!$F$7+L23/$AF$1*'Network Crash Rates'!$F$8+M23/$AF$1*'Network Crash Rates'!$F$9</f>
        <v>479.35515741790221</v>
      </c>
      <c r="AL23" s="238">
        <f t="shared" si="35"/>
        <v>0</v>
      </c>
      <c r="AM23" s="238">
        <f t="shared" si="35"/>
        <v>0</v>
      </c>
      <c r="AN23" s="238">
        <f t="shared" si="35"/>
        <v>0</v>
      </c>
      <c r="AO23" s="106">
        <f t="shared" si="27"/>
        <v>-292184.78394658118</v>
      </c>
      <c r="AP23" s="106">
        <f t="shared" si="27"/>
        <v>-1388202.2719922066</v>
      </c>
      <c r="AQ23" s="106">
        <f t="shared" si="27"/>
        <v>-275427.35018025339</v>
      </c>
      <c r="AR23" s="106">
        <f t="shared" si="28"/>
        <v>-30709.913616395555</v>
      </c>
      <c r="AS23" s="106">
        <f t="shared" si="28"/>
        <v>-122839.65446558222</v>
      </c>
      <c r="AT23" s="106">
        <f t="shared" si="28"/>
        <v>-126873.21046461188</v>
      </c>
      <c r="AU23" s="239">
        <f t="shared" si="29"/>
        <v>0</v>
      </c>
      <c r="AV23" s="239">
        <f t="shared" si="29"/>
        <v>0</v>
      </c>
      <c r="AW23" s="239">
        <f t="shared" si="29"/>
        <v>0</v>
      </c>
      <c r="AX23" s="240">
        <f t="shared" si="30"/>
        <v>16.591171518424417</v>
      </c>
      <c r="AY23" s="240">
        <f t="shared" si="30"/>
        <v>16.426930870750706</v>
      </c>
      <c r="AZ23" s="240">
        <f t="shared" si="30"/>
        <v>14.528287468729186</v>
      </c>
      <c r="BA23" s="240">
        <f t="shared" si="30"/>
        <v>16.511967648345205</v>
      </c>
      <c r="BB23" s="240">
        <f t="shared" si="30"/>
        <v>16.332181095742886</v>
      </c>
      <c r="BC23" s="240">
        <f t="shared" si="30"/>
        <v>14.477153283211026</v>
      </c>
      <c r="BD23" s="227">
        <f t="shared" si="31"/>
        <v>-7.9203870079211924E-2</v>
      </c>
      <c r="BE23" s="227">
        <f t="shared" si="31"/>
        <v>-9.4749775007819892E-2</v>
      </c>
      <c r="BF23" s="227">
        <f t="shared" si="31"/>
        <v>-5.113418551816018E-2</v>
      </c>
      <c r="BG23" s="228">
        <f t="shared" si="32"/>
        <v>48.1832766293576</v>
      </c>
      <c r="BH23" s="228">
        <f t="shared" si="32"/>
        <v>47.367349728223466</v>
      </c>
      <c r="BI23" s="228">
        <f t="shared" si="32"/>
        <v>49.692804370589187</v>
      </c>
      <c r="BJ23" s="228">
        <f t="shared" si="32"/>
        <v>49.141302830061477</v>
      </c>
      <c r="BK23" s="228">
        <f t="shared" si="32"/>
        <v>48.260898532742026</v>
      </c>
      <c r="BL23" s="228">
        <f t="shared" si="32"/>
        <v>53.856958730294821</v>
      </c>
      <c r="BM23" s="228">
        <f t="shared" si="33"/>
        <v>0.9580262007038769</v>
      </c>
      <c r="BN23" s="228">
        <f t="shared" si="33"/>
        <v>0.89354880451855934</v>
      </c>
      <c r="BO23" s="228">
        <f t="shared" si="33"/>
        <v>4.1641543597056341</v>
      </c>
    </row>
    <row r="24" spans="1:67" x14ac:dyDescent="0.25">
      <c r="A24" s="203">
        <v>2039</v>
      </c>
      <c r="B24" s="103">
        <f t="shared" si="34"/>
        <v>3690683.9028610596</v>
      </c>
      <c r="C24" s="103">
        <f t="shared" si="34"/>
        <v>14657176.352119625</v>
      </c>
      <c r="D24" s="103">
        <f t="shared" si="34"/>
        <v>5489795.571996632</v>
      </c>
      <c r="E24" s="103">
        <f t="shared" si="34"/>
        <v>3690683.9028610596</v>
      </c>
      <c r="F24" s="103">
        <f t="shared" si="34"/>
        <v>14657176.352119625</v>
      </c>
      <c r="G24" s="103">
        <f t="shared" si="34"/>
        <v>5489795.571996632</v>
      </c>
      <c r="H24" s="103">
        <f t="shared" si="36"/>
        <v>61214514.465129137</v>
      </c>
      <c r="I24" s="103">
        <f t="shared" si="36"/>
        <v>240729573.77925059</v>
      </c>
      <c r="J24" s="103">
        <f t="shared" si="36"/>
        <v>79684020.114848509</v>
      </c>
      <c r="K24" s="103">
        <f t="shared" si="36"/>
        <v>60917213.638111837</v>
      </c>
      <c r="L24" s="103">
        <f t="shared" si="36"/>
        <v>239304797.65258223</v>
      </c>
      <c r="M24" s="103">
        <f t="shared" si="36"/>
        <v>79411880.006594956</v>
      </c>
      <c r="N24" s="103">
        <f t="shared" si="36"/>
        <v>1270590.2727614006</v>
      </c>
      <c r="O24" s="103">
        <f t="shared" si="36"/>
        <v>5082361.0910456022</v>
      </c>
      <c r="P24" s="103">
        <f t="shared" si="36"/>
        <v>1608825.4959749361</v>
      </c>
      <c r="Q24" s="103">
        <f t="shared" si="36"/>
        <v>1240170.4364938487</v>
      </c>
      <c r="R24" s="103">
        <f t="shared" si="36"/>
        <v>4960681.7459753947</v>
      </c>
      <c r="S24" s="103">
        <f t="shared" si="36"/>
        <v>1477990.227837868</v>
      </c>
      <c r="T24" s="235">
        <f t="shared" si="37"/>
        <v>0.125</v>
      </c>
      <c r="U24" s="235">
        <f t="shared" si="37"/>
        <v>0.125</v>
      </c>
      <c r="V24" s="235">
        <f t="shared" si="37"/>
        <v>0.125</v>
      </c>
      <c r="W24" s="241">
        <v>0.125</v>
      </c>
      <c r="X24" s="241">
        <v>0.125</v>
      </c>
      <c r="Y24" s="241">
        <v>0.125</v>
      </c>
      <c r="Z24" s="102">
        <f>IFERROR((-1.5*T24^4+2.05*T24^3+0.16*T24^2+0.04*T24+0.025)*N24,0)*'Fixed Factors'!$I$13</f>
        <v>63823.523760268086</v>
      </c>
      <c r="AA24" s="102">
        <f>IFERROR((-1.5*U24^4+2.05*U24^3+0.16*U24^2+0.04*U24+0.025)*O24,0)*'Fixed Factors'!$I$14</f>
        <v>255294.09504107235</v>
      </c>
      <c r="AB24" s="102">
        <f>IFERROR((-1.5*V24^4+2.05*V24^3+0.16*V24^2+0.04*V24+0.025)*P24,0)*'Fixed Factors'!$I$15</f>
        <v>58139.245584523938</v>
      </c>
      <c r="AC24" s="103">
        <f>IFERROR((-1.5*(W24)^4+2.05*(W24)^3+0.16*(W24)^2+0.04*W24+0.025)*Q24,0)*'Fixed Factors'!$I$13</f>
        <v>62295.492903722923</v>
      </c>
      <c r="AD24" s="103">
        <f>IFERROR((-1.5*(X24)^4+2.05*(X24)^3+0.16*(X24)^2+0.04*X24+0.025)*R24,0)*'Fixed Factors'!$I$14</f>
        <v>249181.97161489169</v>
      </c>
      <c r="AE24" s="103">
        <f>IFERROR((-1.5*(Y24)^4+2.05*(Y24)^3+0.16*(Y24)^2+0.04*Y24+0.025)*S24,0)*'Fixed Factors'!$I$15</f>
        <v>53411.160528457338</v>
      </c>
      <c r="AF24" s="224">
        <f>H24/$AF$1*'Network Crash Rates'!$D$4+'Network Model Data'!I24/$AF$1*'Network Crash Rates'!$D$5+'Network Model Data'!J24/$AF$1*'Network Crash Rates'!$D$6</f>
        <v>2.9675401706013584</v>
      </c>
      <c r="AG24" s="224">
        <f>H24/'Network Model Data'!$AF$1*'Network Crash Rates'!$E$4+I24/'Network Model Data'!$AF$1*'Network Crash Rates'!$E$5+J24/'Network Model Data'!$AF$1*'Network Crash Rates'!$E$6</f>
        <v>133.54426884246979</v>
      </c>
      <c r="AH24" s="224">
        <f>H24/$AF$1*'Network Crash Rates'!$F$4+I24/$AF$1*'Network Crash Rates'!$F$5+J24/$AF$1*'Network Crash Rates'!$F$6</f>
        <v>483.72698432911437</v>
      </c>
      <c r="AI24" s="224">
        <f>K24/$AF$1*'Network Crash Rates'!$D$7+L24/$AF$1*'Network Crash Rates'!$D$8+M24/$AF$1*'Network Crash Rates'!$D$9</f>
        <v>2.9520331387277192</v>
      </c>
      <c r="AJ24" s="225">
        <f>K24/$AF$1*'Network Crash Rates'!$E$7+L24/$AF$1*'Network Crash Rates'!$E$8+M24/$AF$1*'Network Crash Rates'!$E$9</f>
        <v>132.84642648333423</v>
      </c>
      <c r="AK24" s="225">
        <f>K24/$AF$1*'Network Crash Rates'!$F$7+L24/$AF$1*'Network Crash Rates'!$F$8+M24/$AF$1*'Network Crash Rates'!$F$9</f>
        <v>481.19924440550926</v>
      </c>
      <c r="AL24" s="238">
        <f t="shared" si="35"/>
        <v>0</v>
      </c>
      <c r="AM24" s="238">
        <f t="shared" si="35"/>
        <v>0</v>
      </c>
      <c r="AN24" s="238">
        <f t="shared" si="35"/>
        <v>0</v>
      </c>
      <c r="AO24" s="106">
        <f t="shared" si="27"/>
        <v>-297300.82701729983</v>
      </c>
      <c r="AP24" s="106">
        <f t="shared" si="27"/>
        <v>-1424776.1266683638</v>
      </c>
      <c r="AQ24" s="106">
        <f t="shared" si="27"/>
        <v>-272140.10825355351</v>
      </c>
      <c r="AR24" s="106">
        <f t="shared" si="28"/>
        <v>-30419.836267551873</v>
      </c>
      <c r="AS24" s="106">
        <f t="shared" si="28"/>
        <v>-121679.34507020749</v>
      </c>
      <c r="AT24" s="106">
        <f t="shared" si="28"/>
        <v>-130835.26813706802</v>
      </c>
      <c r="AU24" s="239">
        <f t="shared" si="29"/>
        <v>0</v>
      </c>
      <c r="AV24" s="239">
        <f t="shared" si="29"/>
        <v>0</v>
      </c>
      <c r="AW24" s="239">
        <f t="shared" si="29"/>
        <v>0</v>
      </c>
      <c r="AX24" s="240">
        <f t="shared" si="30"/>
        <v>16.586225229875406</v>
      </c>
      <c r="AY24" s="240">
        <f t="shared" si="30"/>
        <v>16.42400746201282</v>
      </c>
      <c r="AZ24" s="240">
        <f t="shared" si="30"/>
        <v>14.514933947871492</v>
      </c>
      <c r="BA24" s="240">
        <f t="shared" si="30"/>
        <v>16.505670829974935</v>
      </c>
      <c r="BB24" s="240">
        <f t="shared" si="30"/>
        <v>16.326800735939536</v>
      </c>
      <c r="BC24" s="240">
        <f t="shared" si="30"/>
        <v>14.465361954764546</v>
      </c>
      <c r="BD24" s="227">
        <f t="shared" si="31"/>
        <v>-8.0554399900471196E-2</v>
      </c>
      <c r="BE24" s="227">
        <f t="shared" si="31"/>
        <v>-9.7206726073284955E-2</v>
      </c>
      <c r="BF24" s="227">
        <f t="shared" si="31"/>
        <v>-4.9571993106946266E-2</v>
      </c>
      <c r="BG24" s="228">
        <f t="shared" si="32"/>
        <v>48.178012831855185</v>
      </c>
      <c r="BH24" s="228">
        <f t="shared" si="32"/>
        <v>47.365696664761167</v>
      </c>
      <c r="BI24" s="228">
        <f t="shared" si="32"/>
        <v>49.529312106382676</v>
      </c>
      <c r="BJ24" s="228">
        <f t="shared" si="32"/>
        <v>49.120033703056258</v>
      </c>
      <c r="BK24" s="228">
        <f t="shared" si="32"/>
        <v>48.240304439350581</v>
      </c>
      <c r="BL24" s="228">
        <f t="shared" si="32"/>
        <v>53.729638065852114</v>
      </c>
      <c r="BM24" s="228">
        <f t="shared" si="33"/>
        <v>0.94202087120107336</v>
      </c>
      <c r="BN24" s="228">
        <f t="shared" si="33"/>
        <v>0.87460777458941408</v>
      </c>
      <c r="BO24" s="228">
        <f t="shared" si="33"/>
        <v>4.2003259594694384</v>
      </c>
    </row>
    <row r="25" spans="1:67" x14ac:dyDescent="0.25">
      <c r="A25" s="203">
        <v>2040</v>
      </c>
      <c r="B25" s="236">
        <v>3692347</v>
      </c>
      <c r="C25" s="236">
        <v>14663109</v>
      </c>
      <c r="D25" s="236">
        <v>5595213</v>
      </c>
      <c r="E25" s="236">
        <v>3692347</v>
      </c>
      <c r="F25" s="236">
        <v>14663109</v>
      </c>
      <c r="G25" s="236">
        <v>5595213</v>
      </c>
      <c r="H25" s="236">
        <v>61223841</v>
      </c>
      <c r="I25" s="236">
        <v>240784153</v>
      </c>
      <c r="J25" s="236">
        <v>81139500</v>
      </c>
      <c r="K25" s="236">
        <v>60921423</v>
      </c>
      <c r="L25" s="236">
        <v>239322792</v>
      </c>
      <c r="M25" s="236">
        <v>80870860</v>
      </c>
      <c r="N25" s="242">
        <v>1270922.7</v>
      </c>
      <c r="O25" s="242">
        <v>5083690.8</v>
      </c>
      <c r="P25" s="242">
        <v>1643619.3333333333</v>
      </c>
      <c r="Q25" s="243">
        <v>1240793.1666666667</v>
      </c>
      <c r="R25" s="243">
        <v>4963172.666666667</v>
      </c>
      <c r="S25" s="243">
        <v>1508711</v>
      </c>
      <c r="T25" s="235">
        <f t="shared" si="37"/>
        <v>0.125</v>
      </c>
      <c r="U25" s="235">
        <f t="shared" si="37"/>
        <v>0.125</v>
      </c>
      <c r="V25" s="235">
        <f t="shared" si="37"/>
        <v>0.125</v>
      </c>
      <c r="W25" s="241">
        <v>0.125</v>
      </c>
      <c r="X25" s="241">
        <v>0.125</v>
      </c>
      <c r="Y25" s="241">
        <v>0.125</v>
      </c>
      <c r="Z25" s="102">
        <f>IFERROR((-1.5*T25^4+2.05*T25^3+0.16*T25^2+0.04*T25+0.025)*N25,0)*'Fixed Factors'!$I$13</f>
        <v>63840.222044692382</v>
      </c>
      <c r="AA25" s="102">
        <f>IFERROR((-1.5*U25^4+2.05*U25^3+0.16*U25^2+0.04*U25+0.025)*O25,0)*'Fixed Factors'!$I$14</f>
        <v>255360.88817876953</v>
      </c>
      <c r="AB25" s="102">
        <f>IFERROR((-1.5*V25^4+2.05*V25^3+0.16*V25^2+0.04*V25+0.025)*P25,0)*'Fixed Factors'!$I$15</f>
        <v>59396.614677734375</v>
      </c>
      <c r="AC25" s="103">
        <f>IFERROR((-1.5*(W25)^4+2.05*(W25)^3+0.16*(W25)^2+0.04*W25+0.025)*Q25,0)*'Fixed Factors'!$I$13</f>
        <v>62326.773509936531</v>
      </c>
      <c r="AD25" s="103">
        <f>IFERROR((-1.5*(X25)^4+2.05*(X25)^3+0.16*(X25)^2+0.04*X25+0.025)*R25,0)*'Fixed Factors'!$I$14</f>
        <v>249307.09403974612</v>
      </c>
      <c r="AE25" s="103">
        <f>IFERROR((-1.5*(Y25)^4+2.05*(Y25)^3+0.16*(Y25)^2+0.04*Y25+0.025)*S25,0)*'Fixed Factors'!$I$15</f>
        <v>54521.338432617194</v>
      </c>
      <c r="AF25" s="224">
        <f>H25/$AF$1*'Network Crash Rates'!$D$4+'Network Model Data'!I25/$AF$1*'Network Crash Rates'!$D$5+'Network Model Data'!J25/$AF$1*'Network Crash Rates'!$D$6</f>
        <v>2.9793549133439994</v>
      </c>
      <c r="AG25" s="224">
        <f>H25/'Network Model Data'!$AF$1*'Network Crash Rates'!$E$4+I25/'Network Model Data'!$AF$1*'Network Crash Rates'!$E$5+J25/'Network Model Data'!$AF$1*'Network Crash Rates'!$E$6</f>
        <v>134.07595201790198</v>
      </c>
      <c r="AH25" s="224">
        <f>H25/$AF$1*'Network Crash Rates'!$F$4+I25/$AF$1*'Network Crash Rates'!$F$5+J25/$AF$1*'Network Crash Rates'!$F$6</f>
        <v>485.65285880728999</v>
      </c>
      <c r="AI25" s="224">
        <f>K25/$AF$1*'Network Crash Rates'!$D$7+L25/$AF$1*'Network Crash Rates'!$D$8+M25/$AF$1*'Network Crash Rates'!$D$9</f>
        <v>2.9635508232000003</v>
      </c>
      <c r="AJ25" s="225">
        <f>K25/$AF$1*'Network Crash Rates'!$E$7+L25/$AF$1*'Network Crash Rates'!$E$8+M25/$AF$1*'Network Crash Rates'!$E$9</f>
        <v>133.364741539975</v>
      </c>
      <c r="AK25" s="225">
        <f>K25/$AF$1*'Network Crash Rates'!$F$7+L25/$AF$1*'Network Crash Rates'!$F$8+M25/$AF$1*'Network Crash Rates'!$F$9</f>
        <v>483.07669659012498</v>
      </c>
      <c r="AL25" s="238">
        <f t="shared" si="35"/>
        <v>0</v>
      </c>
      <c r="AM25" s="238">
        <f t="shared" si="35"/>
        <v>0</v>
      </c>
      <c r="AN25" s="238">
        <f t="shared" si="35"/>
        <v>0</v>
      </c>
      <c r="AO25" s="106">
        <f t="shared" si="27"/>
        <v>-302418</v>
      </c>
      <c r="AP25" s="106">
        <f t="shared" si="27"/>
        <v>-1461361</v>
      </c>
      <c r="AQ25" s="106">
        <f t="shared" si="27"/>
        <v>-268640</v>
      </c>
      <c r="AR25" s="106">
        <f t="shared" si="28"/>
        <v>-30129.533333333209</v>
      </c>
      <c r="AS25" s="106">
        <f t="shared" si="28"/>
        <v>-120518.13333333284</v>
      </c>
      <c r="AT25" s="106">
        <f t="shared" si="28"/>
        <v>-134908.33333333326</v>
      </c>
      <c r="AU25" s="239">
        <f t="shared" si="29"/>
        <v>0</v>
      </c>
      <c r="AV25" s="239">
        <f t="shared" si="29"/>
        <v>0</v>
      </c>
      <c r="AW25" s="239">
        <f t="shared" si="29"/>
        <v>0</v>
      </c>
      <c r="AX25" s="240">
        <f t="shared" si="30"/>
        <v>16.581280415952239</v>
      </c>
      <c r="AY25" s="240">
        <f t="shared" si="30"/>
        <v>16.421084573537577</v>
      </c>
      <c r="AZ25" s="240">
        <f t="shared" si="30"/>
        <v>14.501592700760453</v>
      </c>
      <c r="BA25" s="240">
        <f t="shared" si="30"/>
        <v>16.499376412888605</v>
      </c>
      <c r="BB25" s="240">
        <f t="shared" si="30"/>
        <v>16.321422148604366</v>
      </c>
      <c r="BC25" s="240">
        <f t="shared" si="30"/>
        <v>14.453580230100266</v>
      </c>
      <c r="BD25" s="227">
        <f t="shared" si="31"/>
        <v>-8.1904003063634434E-2</v>
      </c>
      <c r="BE25" s="227">
        <f t="shared" si="31"/>
        <v>-9.9662424933210758E-2</v>
      </c>
      <c r="BF25" s="227">
        <f t="shared" si="31"/>
        <v>-4.8012470660186324E-2</v>
      </c>
      <c r="BG25" s="228">
        <f t="shared" si="32"/>
        <v>48.172749609397961</v>
      </c>
      <c r="BH25" s="228">
        <f t="shared" si="32"/>
        <v>47.364043658988862</v>
      </c>
      <c r="BI25" s="228">
        <f t="shared" si="32"/>
        <v>49.366357741391056</v>
      </c>
      <c r="BJ25" s="228">
        <f t="shared" si="32"/>
        <v>49.098773781663041</v>
      </c>
      <c r="BK25" s="228">
        <f t="shared" si="32"/>
        <v>48.219719133957184</v>
      </c>
      <c r="BL25" s="228">
        <f t="shared" si="32"/>
        <v>53.602618394112589</v>
      </c>
      <c r="BM25" s="228">
        <f t="shared" si="33"/>
        <v>0.92602417226508038</v>
      </c>
      <c r="BN25" s="228">
        <f t="shared" si="33"/>
        <v>0.85567547496832219</v>
      </c>
      <c r="BO25" s="228">
        <f t="shared" si="33"/>
        <v>4.2362606527215334</v>
      </c>
    </row>
    <row r="26" spans="1:67" x14ac:dyDescent="0.25">
      <c r="A26" s="203">
        <v>2041</v>
      </c>
      <c r="B26" s="219">
        <f t="shared" ref="B26:G29" si="38">IFERROR(B$5*((1+B$30)^($A26-$A$5)),0)</f>
        <v>3694010.8465643087</v>
      </c>
      <c r="C26" s="219">
        <f t="shared" si="38"/>
        <v>14669044.049182605</v>
      </c>
      <c r="D26" s="219">
        <f t="shared" si="38"/>
        <v>5702654.6990315234</v>
      </c>
      <c r="E26" s="219">
        <f t="shared" si="38"/>
        <v>3694010.8465643087</v>
      </c>
      <c r="F26" s="219">
        <f t="shared" si="38"/>
        <v>14669044.049182605</v>
      </c>
      <c r="G26" s="219">
        <f t="shared" si="38"/>
        <v>5702654.6990315234</v>
      </c>
      <c r="H26" s="103">
        <f t="shared" ref="H26:S29" si="39">IFERROR(H25*(1+H$30),0)</f>
        <v>61233168.955845296</v>
      </c>
      <c r="I26" s="103">
        <f t="shared" si="39"/>
        <v>240838744.59517953</v>
      </c>
      <c r="J26" s="103">
        <f t="shared" si="39"/>
        <v>82621565.161509544</v>
      </c>
      <c r="K26" s="103">
        <f t="shared" si="39"/>
        <v>60925632.652753703</v>
      </c>
      <c r="L26" s="103">
        <f t="shared" si="39"/>
        <v>239340787.70048925</v>
      </c>
      <c r="M26" s="103">
        <f t="shared" si="39"/>
        <v>82356644.831937671</v>
      </c>
      <c r="N26" s="103">
        <f t="shared" si="39"/>
        <v>1271255.2142122467</v>
      </c>
      <c r="O26" s="103">
        <f t="shared" si="39"/>
        <v>5085020.8568489868</v>
      </c>
      <c r="P26" s="103">
        <f t="shared" si="39"/>
        <v>1679165.6520025691</v>
      </c>
      <c r="Q26" s="103">
        <f t="shared" si="39"/>
        <v>1241416.2095326884</v>
      </c>
      <c r="R26" s="103">
        <f t="shared" si="39"/>
        <v>4965664.8381307535</v>
      </c>
      <c r="S26" s="103">
        <f t="shared" si="39"/>
        <v>1540070.3189024683</v>
      </c>
      <c r="T26" s="235">
        <f t="shared" si="37"/>
        <v>0.125</v>
      </c>
      <c r="U26" s="235">
        <f t="shared" si="37"/>
        <v>0.125</v>
      </c>
      <c r="V26" s="235">
        <f t="shared" si="37"/>
        <v>0.125</v>
      </c>
      <c r="W26" s="241">
        <v>0.125</v>
      </c>
      <c r="X26" s="241">
        <v>0.125</v>
      </c>
      <c r="Y26" s="241">
        <v>0.125</v>
      </c>
      <c r="Z26" s="102">
        <f>IFERROR((-1.5*T26^4+2.05*T26^3+0.16*T26^2+0.04*T26+0.025)*N26,0)*'Fixed Factors'!$I$13</f>
        <v>63856.924697924434</v>
      </c>
      <c r="AA26" s="102">
        <f>IFERROR((-1.5*U26^4+2.05*U26^3+0.16*U26^2+0.04*U26+0.025)*O26,0)*'Fixed Factors'!$I$14</f>
        <v>255427.69879169774</v>
      </c>
      <c r="AB26" s="102">
        <f>IFERROR((-1.5*V26^4+2.05*V26^3+0.16*V26^2+0.04*V26+0.025)*P26,0)*'Fixed Factors'!$I$15</f>
        <v>60681.17671128425</v>
      </c>
      <c r="AC26" s="103">
        <f>IFERROR((-1.5*(W26)^4+2.05*(W26)^3+0.16*(W26)^2+0.04*W26+0.025)*Q26,0)*'Fixed Factors'!$I$13</f>
        <v>62358.069823166428</v>
      </c>
      <c r="AD26" s="103">
        <f>IFERROR((-1.5*(X26)^4+2.05*(X26)^3+0.16*(X26)^2+0.04*X26+0.025)*R26,0)*'Fixed Factors'!$I$14</f>
        <v>249432.27929266571</v>
      </c>
      <c r="AE26" s="103">
        <f>IFERROR((-1.5*(Y26)^4+2.05*(Y26)^3+0.16*(Y26)^2+0.04*Y26+0.025)*S26,0)*'Fixed Factors'!$I$15</f>
        <v>55654.591944322114</v>
      </c>
      <c r="AF26" s="224">
        <f>H26/$AF$1*'Network Crash Rates'!$D$4+'Network Model Data'!I26/$AF$1*'Network Crash Rates'!$D$5+'Network Model Data'!J26/$AF$1*'Network Crash Rates'!$D$6</f>
        <v>2.9913764904686668</v>
      </c>
      <c r="AG26" s="224">
        <f>H26/'Network Model Data'!$AF$1*'Network Crash Rates'!$E$4+I26/'Network Model Data'!$AF$1*'Network Crash Rates'!$E$5+J26/'Network Model Data'!$AF$1*'Network Crash Rates'!$E$6</f>
        <v>134.61694308631328</v>
      </c>
      <c r="AH26" s="224">
        <f>H26/$AF$1*'Network Crash Rates'!$F$4+I26/$AF$1*'Network Crash Rates'!$F$5+J26/$AF$1*'Network Crash Rates'!$F$6</f>
        <v>487.61244853989228</v>
      </c>
      <c r="AI26" s="224">
        <f>K26/$AF$1*'Network Crash Rates'!$D$7+L26/$AF$1*'Network Crash Rates'!$D$8+M26/$AF$1*'Network Crash Rates'!$D$9</f>
        <v>2.9752769548799645</v>
      </c>
      <c r="AJ26" s="225">
        <f>K26/$AF$1*'Network Crash Rates'!$E$7+L26/$AF$1*'Network Crash Rates'!$E$8+M26/$AF$1*'Network Crash Rates'!$E$9</f>
        <v>133.8924370694458</v>
      </c>
      <c r="AK26" s="225">
        <f>K26/$AF$1*'Network Crash Rates'!$F$7+L26/$AF$1*'Network Crash Rates'!$F$8+M26/$AF$1*'Network Crash Rates'!$F$9</f>
        <v>484.98812692949798</v>
      </c>
      <c r="AL26" s="238">
        <f t="shared" si="35"/>
        <v>0</v>
      </c>
      <c r="AM26" s="238">
        <f t="shared" si="35"/>
        <v>0</v>
      </c>
      <c r="AN26" s="238">
        <f t="shared" si="35"/>
        <v>0</v>
      </c>
      <c r="AO26" s="106">
        <f t="shared" si="27"/>
        <v>-307536.30309159309</v>
      </c>
      <c r="AP26" s="106">
        <f t="shared" si="27"/>
        <v>-1497956.8946902752</v>
      </c>
      <c r="AQ26" s="106">
        <f t="shared" si="27"/>
        <v>-264920.32957187295</v>
      </c>
      <c r="AR26" s="106">
        <f t="shared" si="28"/>
        <v>-29839.004679558333</v>
      </c>
      <c r="AS26" s="106">
        <f t="shared" si="28"/>
        <v>-119356.01871823333</v>
      </c>
      <c r="AT26" s="106">
        <f t="shared" si="28"/>
        <v>-139095.33310010075</v>
      </c>
      <c r="AU26" s="239">
        <f t="shared" si="29"/>
        <v>0</v>
      </c>
      <c r="AV26" s="239">
        <f t="shared" si="29"/>
        <v>0</v>
      </c>
      <c r="AW26" s="239">
        <f t="shared" si="29"/>
        <v>0</v>
      </c>
      <c r="AX26" s="240">
        <f t="shared" si="30"/>
        <v>16.576337076215268</v>
      </c>
      <c r="AY26" s="240">
        <f t="shared" si="30"/>
        <v>16.418162205232431</v>
      </c>
      <c r="AZ26" s="240">
        <f t="shared" si="30"/>
        <v>14.488263716114723</v>
      </c>
      <c r="BA26" s="240">
        <f t="shared" si="30"/>
        <v>16.493084396170318</v>
      </c>
      <c r="BB26" s="240">
        <f t="shared" si="30"/>
        <v>16.316045333153518</v>
      </c>
      <c r="BC26" s="240">
        <f t="shared" si="30"/>
        <v>14.441808101396044</v>
      </c>
      <c r="BD26" s="227">
        <f t="shared" si="31"/>
        <v>-8.3252680044950012E-2</v>
      </c>
      <c r="BE26" s="227">
        <f t="shared" si="31"/>
        <v>-0.10211687207891273</v>
      </c>
      <c r="BF26" s="227">
        <f t="shared" si="31"/>
        <v>-4.6455614718679428E-2</v>
      </c>
      <c r="BG26" s="228">
        <f t="shared" si="32"/>
        <v>48.167486961923217</v>
      </c>
      <c r="BH26" s="228">
        <f t="shared" si="32"/>
        <v>47.362390710904386</v>
      </c>
      <c r="BI26" s="228">
        <f t="shared" si="32"/>
        <v>49.203939505894049</v>
      </c>
      <c r="BJ26" s="228">
        <f t="shared" si="32"/>
        <v>49.077523061897345</v>
      </c>
      <c r="BK26" s="228">
        <f t="shared" si="32"/>
        <v>48.199142612811812</v>
      </c>
      <c r="BL26" s="228">
        <f t="shared" si="32"/>
        <v>53.475899003513788</v>
      </c>
      <c r="BM26" s="228">
        <f t="shared" si="33"/>
        <v>0.91003609997412838</v>
      </c>
      <c r="BN26" s="228">
        <f t="shared" si="33"/>
        <v>0.83675190190742654</v>
      </c>
      <c r="BO26" s="228">
        <f t="shared" si="33"/>
        <v>4.2719594976197399</v>
      </c>
    </row>
    <row r="27" spans="1:67" x14ac:dyDescent="0.25">
      <c r="A27" s="203">
        <v>2042</v>
      </c>
      <c r="B27" s="219">
        <f t="shared" si="38"/>
        <v>3695675.4428916718</v>
      </c>
      <c r="C27" s="219">
        <f t="shared" si="38"/>
        <v>14674981.500639454</v>
      </c>
      <c r="D27" s="219">
        <f t="shared" si="38"/>
        <v>5812159.5400186367</v>
      </c>
      <c r="E27" s="219">
        <f t="shared" si="38"/>
        <v>3695675.4428916718</v>
      </c>
      <c r="F27" s="219">
        <f t="shared" si="38"/>
        <v>14674981.500639454</v>
      </c>
      <c r="G27" s="219">
        <f t="shared" si="38"/>
        <v>5812159.5400186367</v>
      </c>
      <c r="H27" s="103">
        <f t="shared" si="39"/>
        <v>61242498.332881406</v>
      </c>
      <c r="I27" s="103">
        <f t="shared" si="39"/>
        <v>240893348.56759498</v>
      </c>
      <c r="J27" s="103">
        <f t="shared" si="39"/>
        <v>84130701.196551219</v>
      </c>
      <c r="K27" s="103">
        <f t="shared" si="39"/>
        <v>60929842.596393198</v>
      </c>
      <c r="L27" s="103">
        <f t="shared" si="39"/>
        <v>239358784.75415191</v>
      </c>
      <c r="M27" s="103">
        <f t="shared" si="39"/>
        <v>83869726.969317824</v>
      </c>
      <c r="N27" s="103">
        <f t="shared" si="39"/>
        <v>1271587.8154208949</v>
      </c>
      <c r="O27" s="103">
        <f t="shared" si="39"/>
        <v>5086351.2616835795</v>
      </c>
      <c r="P27" s="103">
        <f t="shared" si="39"/>
        <v>1715480.7257876091</v>
      </c>
      <c r="Q27" s="103">
        <f t="shared" si="39"/>
        <v>1242039.565248928</v>
      </c>
      <c r="R27" s="103">
        <f t="shared" si="39"/>
        <v>4968158.2609957121</v>
      </c>
      <c r="S27" s="103">
        <f t="shared" si="39"/>
        <v>1572081.4570612598</v>
      </c>
      <c r="T27" s="235">
        <f t="shared" si="37"/>
        <v>0.125</v>
      </c>
      <c r="U27" s="235">
        <f t="shared" si="37"/>
        <v>0.125</v>
      </c>
      <c r="V27" s="235">
        <f t="shared" si="37"/>
        <v>0.125</v>
      </c>
      <c r="W27" s="241">
        <v>0.125</v>
      </c>
      <c r="X27" s="241">
        <v>0.125</v>
      </c>
      <c r="Y27" s="241">
        <v>0.125</v>
      </c>
      <c r="Z27" s="102">
        <f>IFERROR((-1.5*T27^4+2.05*T27^3+0.16*T27^2+0.04*T27+0.025)*N27,0)*'Fixed Factors'!$I$13</f>
        <v>63873.631721107224</v>
      </c>
      <c r="AA27" s="102">
        <f>IFERROR((-1.5*U27^4+2.05*U27^3+0.16*U27^2+0.04*U27+0.025)*O27,0)*'Fixed Factors'!$I$14</f>
        <v>255494.52688442889</v>
      </c>
      <c r="AB27" s="102">
        <f>IFERROR((-1.5*V27^4+2.05*V27^3+0.16*V27^2+0.04*V27+0.025)*P27,0)*'Fixed Factors'!$I$15</f>
        <v>61993.519782978983</v>
      </c>
      <c r="AC27" s="103">
        <f>IFERROR((-1.5*(W27)^4+2.05*(W27)^3+0.16*(W27)^2+0.04*W27+0.025)*Q27,0)*'Fixed Factors'!$I$13</f>
        <v>62389.381851299659</v>
      </c>
      <c r="AD27" s="103">
        <f>IFERROR((-1.5*(X27)^4+2.05*(X27)^3+0.16*(X27)^2+0.04*X27+0.025)*R27,0)*'Fixed Factors'!$I$14</f>
        <v>249557.52740519863</v>
      </c>
      <c r="AE27" s="103">
        <f>IFERROR((-1.5*(Y27)^4+2.05*(Y27)^3+0.16*(Y27)^2+0.04*Y27+0.025)*S27,0)*'Fixed Factors'!$I$15</f>
        <v>56811.40070171086</v>
      </c>
      <c r="AF27" s="224">
        <f>H27/$AF$1*'Network Crash Rates'!$D$4+'Network Model Data'!I27/$AF$1*'Network Crash Rates'!$D$5+'Network Model Data'!J27/$AF$1*'Network Crash Rates'!$D$6</f>
        <v>3.0036086780024864</v>
      </c>
      <c r="AG27" s="224">
        <f>H27/'Network Model Data'!$AF$1*'Network Crash Rates'!$E$4+I27/'Network Model Data'!$AF$1*'Network Crash Rates'!$E$5+J27/'Network Model Data'!$AF$1*'Network Crash Rates'!$E$6</f>
        <v>135.16741197523714</v>
      </c>
      <c r="AH27" s="224">
        <f>H27/$AF$1*'Network Crash Rates'!$F$4+I27/$AF$1*'Network Crash Rates'!$F$5+J27/$AF$1*'Network Crash Rates'!$F$6</f>
        <v>489.60636904216591</v>
      </c>
      <c r="AI27" s="224">
        <f>K27/$AF$1*'Network Crash Rates'!$D$7+L27/$AF$1*'Network Crash Rates'!$D$8+M27/$AF$1*'Network Crash Rates'!$D$9</f>
        <v>2.9872153631912539</v>
      </c>
      <c r="AJ27" s="225">
        <f>K27/$AF$1*'Network Crash Rates'!$E$7+L27/$AF$1*'Network Crash Rates'!$E$8+M27/$AF$1*'Network Crash Rates'!$E$9</f>
        <v>134.42968540221261</v>
      </c>
      <c r="AK27" s="225">
        <f>K27/$AF$1*'Network Crash Rates'!$F$7+L27/$AF$1*'Network Crash Rates'!$F$8+M27/$AF$1*'Network Crash Rates'!$F$9</f>
        <v>486.93415964282747</v>
      </c>
      <c r="AL27" s="238">
        <f t="shared" si="35"/>
        <v>0</v>
      </c>
      <c r="AM27" s="238">
        <f t="shared" si="35"/>
        <v>0</v>
      </c>
      <c r="AN27" s="238">
        <f t="shared" si="35"/>
        <v>0</v>
      </c>
      <c r="AO27" s="106">
        <f t="shared" si="27"/>
        <v>-312655.73648820817</v>
      </c>
      <c r="AP27" s="106">
        <f t="shared" si="27"/>
        <v>-1534563.8134430647</v>
      </c>
      <c r="AQ27" s="106">
        <f t="shared" si="27"/>
        <v>-260974.22723339498</v>
      </c>
      <c r="AR27" s="106">
        <f t="shared" si="28"/>
        <v>-29548.250171966851</v>
      </c>
      <c r="AS27" s="106">
        <f t="shared" si="28"/>
        <v>-118193.0006878674</v>
      </c>
      <c r="AT27" s="106">
        <f t="shared" si="28"/>
        <v>-143399.26872634934</v>
      </c>
      <c r="AU27" s="239">
        <f t="shared" si="29"/>
        <v>0</v>
      </c>
      <c r="AV27" s="239">
        <f t="shared" si="29"/>
        <v>0</v>
      </c>
      <c r="AW27" s="239">
        <f t="shared" si="29"/>
        <v>0</v>
      </c>
      <c r="AX27" s="240">
        <f t="shared" si="30"/>
        <v>16.571395210225056</v>
      </c>
      <c r="AY27" s="240">
        <f t="shared" si="30"/>
        <v>16.415240357004755</v>
      </c>
      <c r="AZ27" s="240">
        <f t="shared" si="30"/>
        <v>14.474946982663427</v>
      </c>
      <c r="BA27" s="240">
        <f t="shared" si="30"/>
        <v>16.486794778904827</v>
      </c>
      <c r="BB27" s="240">
        <f t="shared" si="30"/>
        <v>16.310670289003227</v>
      </c>
      <c r="BC27" s="240">
        <f t="shared" si="30"/>
        <v>14.430045560836222</v>
      </c>
      <c r="BD27" s="227">
        <f t="shared" si="31"/>
        <v>-8.4600431320229319E-2</v>
      </c>
      <c r="BE27" s="227">
        <f t="shared" si="31"/>
        <v>-0.10457006800152868</v>
      </c>
      <c r="BF27" s="227">
        <f t="shared" si="31"/>
        <v>-4.4901421827205468E-2</v>
      </c>
      <c r="BG27" s="228">
        <f t="shared" si="32"/>
        <v>48.162224889368076</v>
      </c>
      <c r="BH27" s="228">
        <f t="shared" si="32"/>
        <v>47.360737820505818</v>
      </c>
      <c r="BI27" s="228">
        <f t="shared" si="32"/>
        <v>49.042055635993954</v>
      </c>
      <c r="BJ27" s="228">
        <f t="shared" si="32"/>
        <v>49.056281539776641</v>
      </c>
      <c r="BK27" s="228">
        <f t="shared" si="32"/>
        <v>48.178574872165996</v>
      </c>
      <c r="BL27" s="228">
        <f t="shared" si="32"/>
        <v>53.349479184175408</v>
      </c>
      <c r="BM27" s="228">
        <f t="shared" si="33"/>
        <v>0.89405665040856519</v>
      </c>
      <c r="BN27" s="228">
        <f t="shared" si="33"/>
        <v>0.81783705166017739</v>
      </c>
      <c r="BO27" s="228">
        <f t="shared" si="33"/>
        <v>4.307423548181454</v>
      </c>
    </row>
    <row r="28" spans="1:67" x14ac:dyDescent="0.25">
      <c r="A28" s="203">
        <v>2043</v>
      </c>
      <c r="B28" s="219">
        <f t="shared" si="38"/>
        <v>3697340.7893199548</v>
      </c>
      <c r="C28" s="219">
        <f t="shared" si="38"/>
        <v>14680921.355342874</v>
      </c>
      <c r="D28" s="219">
        <f t="shared" si="38"/>
        <v>5923767.1403051428</v>
      </c>
      <c r="E28" s="219">
        <f t="shared" si="38"/>
        <v>3697340.7893199548</v>
      </c>
      <c r="F28" s="219">
        <f t="shared" si="38"/>
        <v>14680921.355342874</v>
      </c>
      <c r="G28" s="219">
        <f t="shared" si="38"/>
        <v>5923767.1403051428</v>
      </c>
      <c r="H28" s="103">
        <f t="shared" si="39"/>
        <v>61251829.131324857</v>
      </c>
      <c r="I28" s="103">
        <f t="shared" si="39"/>
        <v>240947964.92005253</v>
      </c>
      <c r="J28" s="103">
        <f t="shared" si="39"/>
        <v>85667402.572043762</v>
      </c>
      <c r="K28" s="103">
        <f t="shared" si="39"/>
        <v>60934052.830938585</v>
      </c>
      <c r="L28" s="103">
        <f t="shared" si="39"/>
        <v>239376783.16108972</v>
      </c>
      <c r="M28" s="103">
        <f t="shared" si="39"/>
        <v>85410607.926806912</v>
      </c>
      <c r="N28" s="103">
        <f t="shared" si="39"/>
        <v>1271920.5036487055</v>
      </c>
      <c r="O28" s="103">
        <f t="shared" si="39"/>
        <v>5087682.0145948222</v>
      </c>
      <c r="P28" s="103">
        <f t="shared" si="39"/>
        <v>1752581.1804446555</v>
      </c>
      <c r="Q28" s="103">
        <f t="shared" si="39"/>
        <v>1242663.2339724782</v>
      </c>
      <c r="R28" s="103">
        <f t="shared" si="39"/>
        <v>4970652.9358899128</v>
      </c>
      <c r="S28" s="103">
        <f t="shared" si="39"/>
        <v>1604757.962868297</v>
      </c>
      <c r="T28" s="235">
        <f t="shared" si="37"/>
        <v>0.125</v>
      </c>
      <c r="U28" s="235">
        <f t="shared" si="37"/>
        <v>0.125</v>
      </c>
      <c r="V28" s="235">
        <f t="shared" si="37"/>
        <v>0.125</v>
      </c>
      <c r="W28" s="241">
        <v>0.125</v>
      </c>
      <c r="X28" s="241">
        <v>0.125</v>
      </c>
      <c r="Y28" s="241">
        <v>0.125</v>
      </c>
      <c r="Z28" s="102">
        <f>IFERROR((-1.5*T28^4+2.05*T28^3+0.16*T28^2+0.04*T28+0.025)*N28,0)*'Fixed Factors'!$I$13</f>
        <v>63890.343115384065</v>
      </c>
      <c r="AA28" s="102">
        <f>IFERROR((-1.5*U28^4+2.05*U28^3+0.16*U28^2+0.04*U28+0.025)*O28,0)*'Fixed Factors'!$I$14</f>
        <v>255561.37246153626</v>
      </c>
      <c r="AB28" s="102">
        <f>IFERROR((-1.5*V28^4+2.05*V28^3+0.16*V28^2+0.04*V28+0.025)*P28,0)*'Fixed Factors'!$I$15</f>
        <v>63334.244709330545</v>
      </c>
      <c r="AC28" s="103">
        <f>IFERROR((-1.5*(W28)^4+2.05*(W28)^3+0.16*(W28)^2+0.04*W28+0.025)*Q28,0)*'Fixed Factors'!$I$13</f>
        <v>62420.709602227209</v>
      </c>
      <c r="AD28" s="103">
        <f>IFERROR((-1.5*(X28)^4+2.05*(X28)^3+0.16*(X28)^2+0.04*X28+0.025)*R28,0)*'Fixed Factors'!$I$14</f>
        <v>249682.83840890884</v>
      </c>
      <c r="AE28" s="103">
        <f>IFERROR((-1.5*(Y28)^4+2.05*(Y28)^3+0.16*(Y28)^2+0.04*Y28+0.025)*S28,0)*'Fixed Factors'!$I$15</f>
        <v>57992.25431244271</v>
      </c>
      <c r="AF28" s="224">
        <f>H28/$AF$1*'Network Crash Rates'!$D$4+'Network Model Data'!I28/$AF$1*'Network Crash Rates'!$D$5+'Network Model Data'!J28/$AF$1*'Network Crash Rates'!$D$6</f>
        <v>3.0160553209437229</v>
      </c>
      <c r="AG28" s="224">
        <f>H28/'Network Model Data'!$AF$1*'Network Crash Rates'!$E$4+I28/'Network Model Data'!$AF$1*'Network Crash Rates'!$E$5+J28/'Network Model Data'!$AF$1*'Network Crash Rates'!$E$6</f>
        <v>135.72753171602363</v>
      </c>
      <c r="AH28" s="224">
        <f>H28/$AF$1*'Network Crash Rates'!$F$4+I28/$AF$1*'Network Crash Rates'!$F$5+J28/$AF$1*'Network Crash Rates'!$F$6</f>
        <v>491.63524707206818</v>
      </c>
      <c r="AI28" s="224">
        <f>K28/$AF$1*'Network Crash Rates'!$D$7+L28/$AF$1*'Network Crash Rates'!$D$8+M28/$AF$1*'Network Crash Rates'!$D$9</f>
        <v>2.9993699479128622</v>
      </c>
      <c r="AJ28" s="225">
        <f>K28/$AF$1*'Network Crash Rates'!$E$7+L28/$AF$1*'Network Crash Rates'!$E$8+M28/$AF$1*'Network Crash Rates'!$E$9</f>
        <v>134.97666203484974</v>
      </c>
      <c r="AK28" s="225">
        <f>K28/$AF$1*'Network Crash Rates'!$F$7+L28/$AF$1*'Network Crash Rates'!$F$8+M28/$AF$1*'Network Crash Rates'!$F$9</f>
        <v>488.91543041766079</v>
      </c>
      <c r="AL28" s="238">
        <f t="shared" si="35"/>
        <v>0</v>
      </c>
      <c r="AM28" s="238">
        <f t="shared" si="35"/>
        <v>0</v>
      </c>
      <c r="AN28" s="238">
        <f t="shared" si="35"/>
        <v>0</v>
      </c>
      <c r="AO28" s="106">
        <f t="shared" si="27"/>
        <v>-317776.30038627237</v>
      </c>
      <c r="AP28" s="106">
        <f t="shared" si="27"/>
        <v>-1571181.75896281</v>
      </c>
      <c r="AQ28" s="106">
        <f t="shared" si="27"/>
        <v>-256794.64523684978</v>
      </c>
      <c r="AR28" s="106">
        <f t="shared" si="28"/>
        <v>-29257.269676227355</v>
      </c>
      <c r="AS28" s="106">
        <f t="shared" si="28"/>
        <v>-117029.07870490942</v>
      </c>
      <c r="AT28" s="106">
        <f t="shared" si="28"/>
        <v>-147823.21757635847</v>
      </c>
      <c r="AU28" s="239">
        <f t="shared" si="29"/>
        <v>0</v>
      </c>
      <c r="AV28" s="239">
        <f t="shared" si="29"/>
        <v>0</v>
      </c>
      <c r="AW28" s="239">
        <f t="shared" si="29"/>
        <v>0</v>
      </c>
      <c r="AX28" s="240">
        <f t="shared" si="30"/>
        <v>16.566454817542205</v>
      </c>
      <c r="AY28" s="240">
        <f t="shared" si="30"/>
        <v>16.412319028762017</v>
      </c>
      <c r="AZ28" s="240">
        <f t="shared" si="30"/>
        <v>14.461642489146001</v>
      </c>
      <c r="BA28" s="240">
        <f t="shared" si="30"/>
        <v>16.480507560177074</v>
      </c>
      <c r="BB28" s="240">
        <f t="shared" si="30"/>
        <v>16.305297015569977</v>
      </c>
      <c r="BC28" s="240">
        <f t="shared" si="30"/>
        <v>14.418292600611453</v>
      </c>
      <c r="BD28" s="227">
        <f t="shared" si="31"/>
        <v>-8.594725736513098E-2</v>
      </c>
      <c r="BE28" s="227">
        <f t="shared" si="31"/>
        <v>-0.10702201319204008</v>
      </c>
      <c r="BF28" s="227">
        <f t="shared" si="31"/>
        <v>-4.3349888534548242E-2</v>
      </c>
      <c r="BG28" s="228">
        <f t="shared" si="32"/>
        <v>48.156963391669748</v>
      </c>
      <c r="BH28" s="228">
        <f t="shared" si="32"/>
        <v>47.359084987791121</v>
      </c>
      <c r="BI28" s="228">
        <f t="shared" si="32"/>
        <v>48.880704373596373</v>
      </c>
      <c r="BJ28" s="228">
        <f t="shared" si="32"/>
        <v>49.035049211320043</v>
      </c>
      <c r="BK28" s="228">
        <f t="shared" si="32"/>
        <v>48.15801590827288</v>
      </c>
      <c r="BL28" s="228">
        <f t="shared" si="32"/>
        <v>53.223358227895325</v>
      </c>
      <c r="BM28" s="228">
        <f t="shared" si="33"/>
        <v>0.87808581965029475</v>
      </c>
      <c r="BN28" s="228">
        <f t="shared" si="33"/>
        <v>0.79893092048175873</v>
      </c>
      <c r="BO28" s="228">
        <f t="shared" si="33"/>
        <v>4.3426538542989519</v>
      </c>
    </row>
    <row r="29" spans="1:67" x14ac:dyDescent="0.25">
      <c r="A29" s="203">
        <v>2044</v>
      </c>
      <c r="B29" s="219">
        <f t="shared" si="38"/>
        <v>3699006.8861871674</v>
      </c>
      <c r="C29" s="219">
        <f t="shared" si="38"/>
        <v>14686863.614265606</v>
      </c>
      <c r="D29" s="219">
        <f t="shared" si="38"/>
        <v>6037517.8779842034</v>
      </c>
      <c r="E29" s="219">
        <f t="shared" si="38"/>
        <v>3699006.8861871674</v>
      </c>
      <c r="F29" s="219">
        <f t="shared" si="38"/>
        <v>14686863.614265606</v>
      </c>
      <c r="G29" s="219">
        <f t="shared" si="38"/>
        <v>6037517.8779842034</v>
      </c>
      <c r="H29" s="103">
        <f t="shared" si="39"/>
        <v>61261161.351392217</v>
      </c>
      <c r="I29" s="103">
        <f t="shared" si="39"/>
        <v>241002593.65535909</v>
      </c>
      <c r="J29" s="103">
        <f t="shared" si="39"/>
        <v>87232172.786662266</v>
      </c>
      <c r="K29" s="103">
        <f t="shared" si="39"/>
        <v>60938263.356409959</v>
      </c>
      <c r="L29" s="103">
        <f t="shared" si="39"/>
        <v>239394782.92140442</v>
      </c>
      <c r="M29" s="103">
        <f t="shared" si="39"/>
        <v>86979798.433056325</v>
      </c>
      <c r="N29" s="103">
        <f t="shared" si="39"/>
        <v>1272253.2789184456</v>
      </c>
      <c r="O29" s="103">
        <f t="shared" si="39"/>
        <v>5089013.1156737823</v>
      </c>
      <c r="P29" s="103">
        <f t="shared" si="39"/>
        <v>1790484.0012927458</v>
      </c>
      <c r="Q29" s="103">
        <f t="shared" si="39"/>
        <v>1243287.2158605102</v>
      </c>
      <c r="R29" s="103">
        <f t="shared" si="39"/>
        <v>4973148.863442041</v>
      </c>
      <c r="S29" s="103">
        <f t="shared" si="39"/>
        <v>1638113.6663256604</v>
      </c>
      <c r="T29" s="235">
        <f t="shared" si="37"/>
        <v>0.125</v>
      </c>
      <c r="U29" s="235">
        <f t="shared" si="37"/>
        <v>0.125</v>
      </c>
      <c r="V29" s="235">
        <f t="shared" si="37"/>
        <v>0.125</v>
      </c>
      <c r="W29" s="241">
        <v>0.125</v>
      </c>
      <c r="X29" s="241">
        <v>0.125</v>
      </c>
      <c r="Y29" s="241">
        <v>0.125</v>
      </c>
      <c r="Z29" s="102">
        <f>IFERROR((-1.5*T29^4+2.05*T29^3+0.16*T29^2+0.04*T29+0.025)*N29,0)*'Fixed Factors'!$I$13</f>
        <v>63907.058881898578</v>
      </c>
      <c r="AA29" s="102">
        <f>IFERROR((-1.5*U29^4+2.05*U29^3+0.16*U29^2+0.04*U29+0.025)*O29,0)*'Fixed Factors'!$I$14</f>
        <v>255628.23552759431</v>
      </c>
      <c r="AB29" s="102">
        <f>IFERROR((-1.5*V29^4+2.05*V29^3+0.16*V29^2+0.04*V29+0.025)*P29,0)*'Fixed Factors'!$I$15</f>
        <v>64703.965300623109</v>
      </c>
      <c r="AC29" s="103">
        <f>IFERROR((-1.5*(W29)^4+2.05*(W29)^3+0.16*(W29)^2+0.04*W29+0.025)*Q29,0)*'Fixed Factors'!$I$13</f>
        <v>62452.053083844017</v>
      </c>
      <c r="AD29" s="103">
        <f>IFERROR((-1.5*(X29)^4+2.05*(X29)^3+0.16*(X29)^2+0.04*X29+0.025)*R29,0)*'Fixed Factors'!$I$14</f>
        <v>249808.21233537607</v>
      </c>
      <c r="AE29" s="103">
        <f>IFERROR((-1.5*(Y29)^4+2.05*(Y29)^3+0.16*(Y29)^2+0.04*Y29+0.025)*S29,0)*'Fixed Factors'!$I$15</f>
        <v>59197.652560919014</v>
      </c>
      <c r="AF29" s="224">
        <f>H29/$AF$1*'Network Crash Rates'!$D$4+'Network Model Data'!I29/$AF$1*'Network Crash Rates'!$D$5+'Network Model Data'!J29/$AF$1*'Network Crash Rates'!$D$6</f>
        <v>3.0287203345215836</v>
      </c>
      <c r="AG29" s="224">
        <f>H29/'Network Model Data'!$AF$1*'Network Crash Rates'!$E$4+I29/'Network Model Data'!$AF$1*'Network Crash Rates'!$E$5+J29/'Network Model Data'!$AF$1*'Network Crash Rates'!$E$6</f>
        <v>136.29747850053258</v>
      </c>
      <c r="AH29" s="224">
        <f>H29/$AF$1*'Network Crash Rates'!$F$4+I29/$AF$1*'Network Crash Rates'!$F$5+J29/$AF$1*'Network Crash Rates'!$F$6</f>
        <v>493.69972083562448</v>
      </c>
      <c r="AI29" s="224">
        <f>K29/$AF$1*'Network Crash Rates'!$D$7+L29/$AF$1*'Network Crash Rates'!$D$8+M29/$AF$1*'Network Crash Rates'!$D$9</f>
        <v>3.0117446804717303</v>
      </c>
      <c r="AJ29" s="225">
        <f>K29/$AF$1*'Network Crash Rates'!$E$7+L29/$AF$1*'Network Crash Rates'!$E$8+M29/$AF$1*'Network Crash Rates'!$E$9</f>
        <v>135.5335456882091</v>
      </c>
      <c r="AK29" s="225">
        <f>K29/$AF$1*'Network Crash Rates'!$F$7+L29/$AF$1*'Network Crash Rates'!$F$8+M29/$AF$1*'Network Crash Rates'!$F$9</f>
        <v>490.93258662059355</v>
      </c>
      <c r="AL29" s="238">
        <f t="shared" si="35"/>
        <v>0</v>
      </c>
      <c r="AM29" s="238">
        <f t="shared" si="35"/>
        <v>0</v>
      </c>
      <c r="AN29" s="238">
        <f t="shared" si="35"/>
        <v>0</v>
      </c>
      <c r="AO29" s="106">
        <f t="shared" si="27"/>
        <v>-322897.99498225749</v>
      </c>
      <c r="AP29" s="106">
        <f t="shared" si="27"/>
        <v>-1607810.733954668</v>
      </c>
      <c r="AQ29" s="106">
        <f t="shared" si="27"/>
        <v>-252374.35360594094</v>
      </c>
      <c r="AR29" s="106">
        <f t="shared" si="28"/>
        <v>-28966.063057935331</v>
      </c>
      <c r="AS29" s="106">
        <f t="shared" si="28"/>
        <v>-115864.25223174132</v>
      </c>
      <c r="AT29" s="106">
        <f t="shared" si="28"/>
        <v>-152370.33496708539</v>
      </c>
      <c r="AU29" s="239">
        <f t="shared" si="29"/>
        <v>0</v>
      </c>
      <c r="AV29" s="239">
        <f t="shared" si="29"/>
        <v>0</v>
      </c>
      <c r="AW29" s="239">
        <f t="shared" si="29"/>
        <v>0</v>
      </c>
      <c r="AX29" s="240">
        <f t="shared" si="30"/>
        <v>16.561515897727485</v>
      </c>
      <c r="AY29" s="240">
        <f t="shared" si="30"/>
        <v>16.409398220411681</v>
      </c>
      <c r="AZ29" s="240">
        <f t="shared" si="30"/>
        <v>14.448350224312247</v>
      </c>
      <c r="BA29" s="240">
        <f t="shared" si="30"/>
        <v>16.474222739072381</v>
      </c>
      <c r="BB29" s="240">
        <f t="shared" si="30"/>
        <v>16.299925512270441</v>
      </c>
      <c r="BC29" s="240">
        <f t="shared" si="30"/>
        <v>14.406549212918769</v>
      </c>
      <c r="BD29" s="227">
        <f t="shared" si="31"/>
        <v>-8.7293158655104008E-2</v>
      </c>
      <c r="BE29" s="227">
        <f t="shared" si="31"/>
        <v>-0.1094727081412401</v>
      </c>
      <c r="BF29" s="227">
        <f t="shared" si="31"/>
        <v>-4.1801011393477694E-2</v>
      </c>
      <c r="BG29" s="228">
        <f t="shared" si="32"/>
        <v>48.151702468765421</v>
      </c>
      <c r="BH29" s="228">
        <f t="shared" si="32"/>
        <v>47.357432212758305</v>
      </c>
      <c r="BI29" s="228">
        <f t="shared" si="32"/>
        <v>48.719883966391123</v>
      </c>
      <c r="BJ29" s="228">
        <f t="shared" si="32"/>
        <v>49.013826072548376</v>
      </c>
      <c r="BK29" s="228">
        <f t="shared" si="32"/>
        <v>48.137465717387208</v>
      </c>
      <c r="BL29" s="228">
        <f t="shared" si="32"/>
        <v>53.097535428145655</v>
      </c>
      <c r="BM29" s="228">
        <f t="shared" si="33"/>
        <v>0.86212360378295472</v>
      </c>
      <c r="BN29" s="228">
        <f t="shared" si="33"/>
        <v>0.78003350462890353</v>
      </c>
      <c r="BO29" s="228">
        <f t="shared" si="33"/>
        <v>4.3776514617545317</v>
      </c>
    </row>
    <row r="30" spans="1:67" x14ac:dyDescent="0.25">
      <c r="A30" s="229" t="s">
        <v>73</v>
      </c>
      <c r="B30" s="204">
        <f t="shared" ref="B30:J30" si="40">IFERROR((B25/B5)^(1/($A$25-$A$5))-1,"")</f>
        <v>4.5062031393627855E-4</v>
      </c>
      <c r="C30" s="204">
        <f t="shared" si="40"/>
        <v>4.0476062631911169E-4</v>
      </c>
      <c r="D30" s="204">
        <f>IFERROR((D25/D5)^(1/($A$25-$A$5))-1,"")</f>
        <v>1.9202432334840536E-2</v>
      </c>
      <c r="E30" s="204">
        <f t="shared" si="40"/>
        <v>4.5062031393627855E-4</v>
      </c>
      <c r="F30" s="204">
        <f t="shared" si="40"/>
        <v>4.0476062631911169E-4</v>
      </c>
      <c r="G30" s="204">
        <f t="shared" si="40"/>
        <v>1.9202432334840536E-2</v>
      </c>
      <c r="H30" s="204">
        <f t="shared" si="40"/>
        <v>1.5235822668002719E-4</v>
      </c>
      <c r="I30" s="204">
        <f t="shared" si="40"/>
        <v>2.2672420298164297E-4</v>
      </c>
      <c r="J30" s="204">
        <f t="shared" si="40"/>
        <v>1.8265643262646902E-2</v>
      </c>
      <c r="K30" s="204">
        <f>IFERROR((K25/K5)^(1/($A$25-$A$5))-1,"")</f>
        <v>6.9099711503817218E-5</v>
      </c>
      <c r="L30" s="204">
        <f>IFERROR((L25/L5)^(1/($A$25-$A$5))-1,"")</f>
        <v>7.5194261018207698E-5</v>
      </c>
      <c r="M30" s="204">
        <f>IFERROR((M25/M5)^(1/($A$25-$A$5))-1,"")</f>
        <v>1.8372313982288224E-2</v>
      </c>
      <c r="N30" s="204">
        <f t="shared" ref="N30:S30" si="41">IFERROR((N25/N5)^(1/($A$25-$A$5))-1,"")</f>
        <v>2.6163212935514935E-4</v>
      </c>
      <c r="O30" s="204">
        <f t="shared" si="41"/>
        <v>2.6163212935514935E-4</v>
      </c>
      <c r="P30" s="204">
        <f t="shared" si="41"/>
        <v>2.1626856017290974E-2</v>
      </c>
      <c r="Q30" s="204">
        <f t="shared" si="41"/>
        <v>5.0213273473720399E-4</v>
      </c>
      <c r="R30" s="204">
        <f t="shared" si="41"/>
        <v>5.0213273473720399E-4</v>
      </c>
      <c r="S30" s="204">
        <f t="shared" si="41"/>
        <v>2.0785504249964504E-2</v>
      </c>
      <c r="T30" s="204"/>
      <c r="U30" s="204"/>
      <c r="V30" s="204"/>
      <c r="W30" s="204"/>
      <c r="X30" s="204"/>
      <c r="Y30" s="204"/>
      <c r="Z30" s="104"/>
      <c r="AA30" s="104"/>
      <c r="AB30" s="104"/>
      <c r="AC30" s="105"/>
      <c r="AD30" s="105"/>
      <c r="AE30" s="105"/>
      <c r="AR30" s="204" t="str">
        <f>IFERROR((AR12/#REF!)^(1/($A$23-#REF!))-1,"")</f>
        <v/>
      </c>
      <c r="AS30" s="204" t="str">
        <f>IFERROR((AS12/#REF!)^(1/($A$23-#REF!))-1,"")</f>
        <v/>
      </c>
      <c r="AT30" s="204" t="str">
        <f>IFERROR((AT12/#REF!)^(1/($A$23-#REF!))-1,"")</f>
        <v/>
      </c>
      <c r="AU30" s="204" t="str">
        <f>IFERROR((AU12/#REF!)^(1/($A$23-#REF!))-1,"")</f>
        <v/>
      </c>
      <c r="AV30" s="204" t="str">
        <f>IFERROR((AV12/#REF!)^(1/($A$23-#REF!))-1,"")</f>
        <v/>
      </c>
      <c r="AW30" s="204" t="str">
        <f>IFERROR((AW12/#REF!)^(1/($A$23-#REF!))-1,"")</f>
        <v/>
      </c>
      <c r="AX30" s="227"/>
      <c r="AY30" s="227"/>
      <c r="AZ30" s="227"/>
      <c r="BA30" s="204" t="str">
        <f>IFERROR((BA12/#REF!)^(1/($A$23-#REF!))-1,"")</f>
        <v/>
      </c>
      <c r="BB30" s="204" t="str">
        <f>IFERROR((BB12/#REF!)^(1/($A$23-#REF!))-1,"")</f>
        <v/>
      </c>
      <c r="BC30" s="204" t="str">
        <f>IFERROR((BC12/#REF!)^(1/($A$23-#REF!))-1,"")</f>
        <v/>
      </c>
      <c r="BD30" s="204" t="str">
        <f>IFERROR((BD12/#REF!)^(1/($A$23-#REF!))-1,"")</f>
        <v/>
      </c>
      <c r="BE30" s="204" t="str">
        <f>IFERROR((BE12/#REF!)^(1/($A$23-#REF!))-1,"")</f>
        <v/>
      </c>
      <c r="BF30" s="204" t="str">
        <f>IFERROR((BF12/#REF!)^(1/($A$23-#REF!))-1,"")</f>
        <v/>
      </c>
      <c r="BG30" s="228"/>
      <c r="BH30" s="228"/>
      <c r="BI30" s="228"/>
    </row>
    <row r="31" spans="1:67" x14ac:dyDescent="0.25">
      <c r="B31" s="244" t="s">
        <v>325</v>
      </c>
      <c r="C31" s="244"/>
      <c r="D31" s="244"/>
      <c r="E31" s="244"/>
      <c r="F31" s="244"/>
      <c r="G31" s="244"/>
      <c r="H31" s="244"/>
      <c r="I31" s="244"/>
      <c r="J31" s="245"/>
      <c r="K31" s="109"/>
      <c r="L31" s="109"/>
      <c r="M31" s="109"/>
      <c r="Q31" s="109"/>
      <c r="R31" s="109"/>
      <c r="S31" s="109"/>
      <c r="V31" s="106"/>
      <c r="AC31" s="106"/>
      <c r="AD31" s="106"/>
      <c r="AE31" s="106"/>
      <c r="AX31" s="227"/>
      <c r="AY31" s="227"/>
      <c r="AZ31" s="227"/>
      <c r="BG31" s="228"/>
      <c r="BH31" s="228"/>
      <c r="BI31" s="228"/>
    </row>
    <row r="32" spans="1:67" x14ac:dyDescent="0.25">
      <c r="B32" s="54" t="s">
        <v>74</v>
      </c>
      <c r="C32" s="107"/>
      <c r="D32" s="107"/>
      <c r="H32" s="106"/>
      <c r="I32" s="106"/>
      <c r="J32" s="106"/>
      <c r="K32" s="109"/>
      <c r="L32" s="109"/>
      <c r="M32" s="109"/>
      <c r="N32" s="106"/>
      <c r="O32" s="106"/>
      <c r="P32" s="106"/>
      <c r="Q32" s="109"/>
      <c r="R32" s="109"/>
      <c r="S32" s="109"/>
      <c r="V32" s="106"/>
      <c r="W32" s="108"/>
      <c r="X32" s="108"/>
      <c r="Y32" s="108"/>
      <c r="AX32" s="227"/>
      <c r="AY32" s="227"/>
      <c r="AZ32" s="227"/>
      <c r="BG32" s="228"/>
      <c r="BH32" s="228"/>
      <c r="BI32" s="228"/>
    </row>
    <row r="33" spans="7:9" x14ac:dyDescent="0.25">
      <c r="G33" s="97"/>
      <c r="H33" s="97"/>
      <c r="I33" s="110"/>
    </row>
  </sheetData>
  <mergeCells count="41">
    <mergeCell ref="BM3:BO3"/>
    <mergeCell ref="AU3:AW3"/>
    <mergeCell ref="AX3:AZ3"/>
    <mergeCell ref="BA3:BC3"/>
    <mergeCell ref="BD3:BF3"/>
    <mergeCell ref="BG3:BI3"/>
    <mergeCell ref="BJ3:BL3"/>
    <mergeCell ref="AC3:AE3"/>
    <mergeCell ref="AF3:AH3"/>
    <mergeCell ref="AI3:AK3"/>
    <mergeCell ref="AL3:AN3"/>
    <mergeCell ref="AO3:AQ3"/>
    <mergeCell ref="AR3:AT3"/>
    <mergeCell ref="BM2:BO2"/>
    <mergeCell ref="B3:D3"/>
    <mergeCell ref="E3:G3"/>
    <mergeCell ref="H3:J3"/>
    <mergeCell ref="K3:M3"/>
    <mergeCell ref="N3:P3"/>
    <mergeCell ref="Q3:S3"/>
    <mergeCell ref="T3:V3"/>
    <mergeCell ref="W3:Y3"/>
    <mergeCell ref="Z3:AB3"/>
    <mergeCell ref="AL2:AW2"/>
    <mergeCell ref="AX2:AZ2"/>
    <mergeCell ref="BA2:BC2"/>
    <mergeCell ref="BD2:BF2"/>
    <mergeCell ref="BG2:BI2"/>
    <mergeCell ref="BJ2:BL2"/>
    <mergeCell ref="T2:V2"/>
    <mergeCell ref="W2:Y2"/>
    <mergeCell ref="Z2:AB2"/>
    <mergeCell ref="AC2:AE2"/>
    <mergeCell ref="AF2:AH2"/>
    <mergeCell ref="AI2:AK2"/>
    <mergeCell ref="Q2:S2"/>
    <mergeCell ref="B2:D2"/>
    <mergeCell ref="E2:G2"/>
    <mergeCell ref="H2:J2"/>
    <mergeCell ref="K2:M2"/>
    <mergeCell ref="N2:P2"/>
  </mergeCells>
  <conditionalFormatting sqref="AO5:AQ29">
    <cfRule type="cellIs" dxfId="4" priority="2" operator="lessThan">
      <formula>0</formula>
    </cfRule>
  </conditionalFormatting>
  <conditionalFormatting sqref="AR5:AT29">
    <cfRule type="cellIs" dxfId="3" priority="1" operator="lessThan">
      <formula>0</formula>
    </cfRule>
  </conditionalFormatting>
  <pageMargins left="0.7" right="0.7" top="0.75" bottom="0.75" header="0.3" footer="0.3"/>
  <pageSetup scale="68" fitToWidth="0" orientation="landscape" r:id="rId1"/>
  <colBreaks count="4" manualBreakCount="4">
    <brk id="7" max="1048575" man="1"/>
    <brk id="10" max="1048575" man="1"/>
    <brk id="13" max="1048575" man="1"/>
    <brk id="2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BO30"/>
  <sheetViews>
    <sheetView zoomScaleNormal="100" zoomScaleSheetLayoutView="106" workbookViewId="0">
      <pane xSplit="1" ySplit="4" topLeftCell="L5" activePane="bottomRight" state="frozen"/>
      <selection activeCell="G14" sqref="G14"/>
      <selection pane="topRight" activeCell="G14" sqref="G14"/>
      <selection pane="bottomLeft" activeCell="G14" sqref="G14"/>
      <selection pane="bottomRight" activeCell="BG10" sqref="BG10:BL29"/>
    </sheetView>
  </sheetViews>
  <sheetFormatPr defaultColWidth="9.140625" defaultRowHeight="15" x14ac:dyDescent="0.25"/>
  <cols>
    <col min="1" max="1" width="10" style="54" bestFit="1" customWidth="1"/>
    <col min="2" max="2" width="14.42578125" style="54" bestFit="1" customWidth="1"/>
    <col min="3" max="3" width="14.28515625" style="54" customWidth="1"/>
    <col min="4" max="4" width="14" style="54" bestFit="1" customWidth="1"/>
    <col min="5" max="5" width="14.140625" style="54" customWidth="1"/>
    <col min="6" max="6" width="15.42578125" style="54" customWidth="1"/>
    <col min="7" max="7" width="16" style="54" customWidth="1"/>
    <col min="8" max="8" width="14" style="54" customWidth="1"/>
    <col min="9" max="9" width="17.42578125" style="54" customWidth="1"/>
    <col min="10" max="10" width="15.85546875" style="54" customWidth="1"/>
    <col min="11" max="11" width="14.28515625" style="54" customWidth="1"/>
    <col min="12" max="12" width="16.140625" style="54" customWidth="1"/>
    <col min="13" max="13" width="14.5703125" style="54" customWidth="1"/>
    <col min="14" max="14" width="16.140625" style="54" customWidth="1"/>
    <col min="15" max="15" width="18.7109375" style="54" customWidth="1"/>
    <col min="16" max="16" width="15.42578125" style="54" customWidth="1"/>
    <col min="17" max="17" width="12.5703125" style="54" customWidth="1"/>
    <col min="18" max="18" width="14.28515625" style="54" customWidth="1"/>
    <col min="19" max="19" width="12.7109375" style="54" bestFit="1" customWidth="1"/>
    <col min="20" max="20" width="12.7109375" style="54" customWidth="1"/>
    <col min="21" max="21" width="11.7109375" style="54" customWidth="1"/>
    <col min="22" max="22" width="9.42578125" style="54" customWidth="1"/>
    <col min="23" max="23" width="9.85546875" style="54" customWidth="1"/>
    <col min="24" max="24" width="12.5703125" style="54" customWidth="1"/>
    <col min="25" max="25" width="11.140625" style="54" customWidth="1"/>
    <col min="26" max="26" width="15.42578125" style="54" customWidth="1"/>
    <col min="27" max="27" width="12.7109375" style="54" bestFit="1" customWidth="1"/>
    <col min="28" max="28" width="9.85546875" style="54" bestFit="1" customWidth="1"/>
    <col min="29" max="29" width="11.5703125" style="54" bestFit="1" customWidth="1"/>
    <col min="30" max="30" width="12.7109375" style="54" bestFit="1" customWidth="1"/>
    <col min="31" max="31" width="9.85546875" style="54" bestFit="1" customWidth="1"/>
    <col min="32" max="32" width="14.85546875" style="54" customWidth="1"/>
    <col min="33" max="33" width="10.85546875" style="54" customWidth="1"/>
    <col min="34" max="34" width="11.140625" style="54" customWidth="1"/>
    <col min="35" max="35" width="12.140625" style="54" customWidth="1"/>
    <col min="36" max="36" width="10.85546875" style="54" customWidth="1"/>
    <col min="37" max="37" width="11.85546875" style="54" customWidth="1"/>
    <col min="38" max="40" width="9.140625" style="54"/>
    <col min="41" max="41" width="11.140625" style="54" bestFit="1" customWidth="1"/>
    <col min="42" max="42" width="13" style="54" bestFit="1" customWidth="1"/>
    <col min="43" max="43" width="12.5703125" style="54" bestFit="1" customWidth="1"/>
    <col min="44" max="44" width="12" style="54" bestFit="1" customWidth="1"/>
    <col min="45" max="45" width="11.7109375" style="54" bestFit="1" customWidth="1"/>
    <col min="46" max="46" width="10.5703125" style="54" customWidth="1"/>
    <col min="47" max="16384" width="9.140625" style="54"/>
  </cols>
  <sheetData>
    <row r="1" spans="1:67" x14ac:dyDescent="0.25">
      <c r="B1" s="95" t="s">
        <v>79</v>
      </c>
      <c r="D1" s="96"/>
      <c r="I1" s="95" t="s">
        <v>79</v>
      </c>
      <c r="K1" s="95" t="s">
        <v>79</v>
      </c>
      <c r="N1" s="95" t="s">
        <v>79</v>
      </c>
      <c r="R1" s="106"/>
      <c r="T1" s="106"/>
      <c r="Z1" s="95" t="s">
        <v>79</v>
      </c>
      <c r="AF1" s="97">
        <v>100000000</v>
      </c>
    </row>
    <row r="2" spans="1:67" s="100" customFormat="1" ht="15" customHeight="1" x14ac:dyDescent="0.25">
      <c r="A2" s="98"/>
      <c r="B2" s="352" t="s">
        <v>3</v>
      </c>
      <c r="C2" s="353"/>
      <c r="D2" s="354"/>
      <c r="E2" s="352" t="s">
        <v>4</v>
      </c>
      <c r="F2" s="353"/>
      <c r="G2" s="354"/>
      <c r="H2" s="352" t="s">
        <v>3</v>
      </c>
      <c r="I2" s="353"/>
      <c r="J2" s="354"/>
      <c r="K2" s="352" t="s">
        <v>4</v>
      </c>
      <c r="L2" s="353"/>
      <c r="M2" s="354"/>
      <c r="N2" s="352" t="s">
        <v>3</v>
      </c>
      <c r="O2" s="353"/>
      <c r="P2" s="354"/>
      <c r="Q2" s="352" t="s">
        <v>4</v>
      </c>
      <c r="R2" s="353"/>
      <c r="S2" s="354"/>
      <c r="T2" s="352" t="s">
        <v>3</v>
      </c>
      <c r="U2" s="353"/>
      <c r="V2" s="354"/>
      <c r="W2" s="352" t="s">
        <v>4</v>
      </c>
      <c r="X2" s="353"/>
      <c r="Y2" s="354"/>
      <c r="Z2" s="352" t="s">
        <v>3</v>
      </c>
      <c r="AA2" s="353"/>
      <c r="AB2" s="354"/>
      <c r="AC2" s="352" t="s">
        <v>4</v>
      </c>
      <c r="AD2" s="353"/>
      <c r="AE2" s="354"/>
      <c r="AF2" s="352" t="s">
        <v>3</v>
      </c>
      <c r="AG2" s="353"/>
      <c r="AH2" s="354"/>
      <c r="AI2" s="352" t="s">
        <v>4</v>
      </c>
      <c r="AJ2" s="353"/>
      <c r="AK2" s="354"/>
      <c r="AL2" s="357" t="s">
        <v>229</v>
      </c>
      <c r="AM2" s="355"/>
      <c r="AN2" s="355"/>
      <c r="AO2" s="355"/>
      <c r="AP2" s="355"/>
      <c r="AQ2" s="355"/>
      <c r="AR2" s="355"/>
      <c r="AS2" s="355"/>
      <c r="AT2" s="355"/>
      <c r="AU2" s="355"/>
      <c r="AV2" s="355"/>
      <c r="AW2" s="355"/>
      <c r="AX2" s="355" t="s">
        <v>230</v>
      </c>
      <c r="AY2" s="355"/>
      <c r="AZ2" s="355"/>
      <c r="BA2" s="355" t="s">
        <v>231</v>
      </c>
      <c r="BB2" s="355"/>
      <c r="BC2" s="355"/>
      <c r="BD2" s="355" t="s">
        <v>229</v>
      </c>
      <c r="BE2" s="355"/>
      <c r="BF2" s="355"/>
      <c r="BG2" s="355" t="s">
        <v>230</v>
      </c>
      <c r="BH2" s="355"/>
      <c r="BI2" s="355"/>
      <c r="BJ2" s="355" t="s">
        <v>231</v>
      </c>
      <c r="BK2" s="355"/>
      <c r="BL2" s="355"/>
      <c r="BM2" s="355" t="s">
        <v>229</v>
      </c>
      <c r="BN2" s="355"/>
      <c r="BO2" s="355"/>
    </row>
    <row r="3" spans="1:67" s="100" customFormat="1" ht="30" customHeight="1" x14ac:dyDescent="0.25">
      <c r="A3" s="98"/>
      <c r="B3" s="352" t="s">
        <v>2</v>
      </c>
      <c r="C3" s="353"/>
      <c r="D3" s="354"/>
      <c r="E3" s="352" t="s">
        <v>2</v>
      </c>
      <c r="F3" s="353"/>
      <c r="G3" s="354"/>
      <c r="H3" s="352" t="s">
        <v>22</v>
      </c>
      <c r="I3" s="353"/>
      <c r="J3" s="354"/>
      <c r="K3" s="352" t="s">
        <v>22</v>
      </c>
      <c r="L3" s="353"/>
      <c r="M3" s="354"/>
      <c r="N3" s="352" t="s">
        <v>8</v>
      </c>
      <c r="O3" s="353"/>
      <c r="P3" s="354"/>
      <c r="Q3" s="352" t="s">
        <v>8</v>
      </c>
      <c r="R3" s="353"/>
      <c r="S3" s="354"/>
      <c r="T3" s="352" t="s">
        <v>38</v>
      </c>
      <c r="U3" s="353"/>
      <c r="V3" s="354"/>
      <c r="W3" s="352" t="s">
        <v>38</v>
      </c>
      <c r="X3" s="353"/>
      <c r="Y3" s="354"/>
      <c r="Z3" s="352" t="s">
        <v>111</v>
      </c>
      <c r="AA3" s="353"/>
      <c r="AB3" s="354"/>
      <c r="AC3" s="352" t="s">
        <v>39</v>
      </c>
      <c r="AD3" s="353"/>
      <c r="AE3" s="354"/>
      <c r="AF3" s="352" t="s">
        <v>45</v>
      </c>
      <c r="AG3" s="353"/>
      <c r="AH3" s="354"/>
      <c r="AI3" s="352" t="s">
        <v>45</v>
      </c>
      <c r="AJ3" s="353"/>
      <c r="AK3" s="354"/>
      <c r="AL3" s="356" t="s">
        <v>2</v>
      </c>
      <c r="AM3" s="356"/>
      <c r="AN3" s="356"/>
      <c r="AO3" s="356" t="s">
        <v>226</v>
      </c>
      <c r="AP3" s="356"/>
      <c r="AQ3" s="356"/>
      <c r="AR3" s="356" t="s">
        <v>8</v>
      </c>
      <c r="AS3" s="356"/>
      <c r="AT3" s="356"/>
      <c r="AU3" s="356" t="s">
        <v>232</v>
      </c>
      <c r="AV3" s="356"/>
      <c r="AW3" s="356"/>
      <c r="AX3" s="359" t="s">
        <v>233</v>
      </c>
      <c r="AY3" s="359"/>
      <c r="AZ3" s="359"/>
      <c r="BA3" s="359" t="s">
        <v>233</v>
      </c>
      <c r="BB3" s="359"/>
      <c r="BC3" s="359"/>
      <c r="BD3" s="358" t="s">
        <v>233</v>
      </c>
      <c r="BE3" s="358"/>
      <c r="BF3" s="358"/>
      <c r="BG3" s="359" t="s">
        <v>234</v>
      </c>
      <c r="BH3" s="359"/>
      <c r="BI3" s="359"/>
      <c r="BJ3" s="359" t="s">
        <v>234</v>
      </c>
      <c r="BK3" s="359"/>
      <c r="BL3" s="359"/>
      <c r="BM3" s="358" t="s">
        <v>234</v>
      </c>
      <c r="BN3" s="358"/>
      <c r="BO3" s="358"/>
    </row>
    <row r="4" spans="1:67" s="100" customFormat="1" ht="30" x14ac:dyDescent="0.25">
      <c r="A4" s="101" t="s">
        <v>0</v>
      </c>
      <c r="B4" s="101" t="s">
        <v>20</v>
      </c>
      <c r="C4" s="101" t="s">
        <v>21</v>
      </c>
      <c r="D4" s="101" t="s">
        <v>1</v>
      </c>
      <c r="E4" s="101" t="s">
        <v>20</v>
      </c>
      <c r="F4" s="101" t="s">
        <v>21</v>
      </c>
      <c r="G4" s="101" t="s">
        <v>1</v>
      </c>
      <c r="H4" s="101" t="s">
        <v>20</v>
      </c>
      <c r="I4" s="101" t="s">
        <v>21</v>
      </c>
      <c r="J4" s="101" t="s">
        <v>1</v>
      </c>
      <c r="K4" s="101" t="s">
        <v>20</v>
      </c>
      <c r="L4" s="101" t="s">
        <v>21</v>
      </c>
      <c r="M4" s="101" t="s">
        <v>1</v>
      </c>
      <c r="N4" s="101" t="s">
        <v>20</v>
      </c>
      <c r="O4" s="101" t="s">
        <v>21</v>
      </c>
      <c r="P4" s="101" t="s">
        <v>1</v>
      </c>
      <c r="Q4" s="101" t="s">
        <v>20</v>
      </c>
      <c r="R4" s="101" t="s">
        <v>21</v>
      </c>
      <c r="S4" s="101" t="s">
        <v>1</v>
      </c>
      <c r="T4" s="101" t="s">
        <v>20</v>
      </c>
      <c r="U4" s="101" t="s">
        <v>21</v>
      </c>
      <c r="V4" s="101" t="s">
        <v>1</v>
      </c>
      <c r="W4" s="101" t="s">
        <v>20</v>
      </c>
      <c r="X4" s="101" t="s">
        <v>21</v>
      </c>
      <c r="Y4" s="101" t="s">
        <v>1</v>
      </c>
      <c r="Z4" s="101" t="s">
        <v>20</v>
      </c>
      <c r="AA4" s="101" t="s">
        <v>21</v>
      </c>
      <c r="AB4" s="101" t="s">
        <v>1</v>
      </c>
      <c r="AC4" s="101" t="s">
        <v>20</v>
      </c>
      <c r="AD4" s="101" t="s">
        <v>21</v>
      </c>
      <c r="AE4" s="101" t="s">
        <v>1</v>
      </c>
      <c r="AF4" s="101" t="s">
        <v>41</v>
      </c>
      <c r="AG4" s="101" t="s">
        <v>42</v>
      </c>
      <c r="AH4" s="101" t="s">
        <v>43</v>
      </c>
      <c r="AI4" s="101" t="s">
        <v>41</v>
      </c>
      <c r="AJ4" s="101" t="s">
        <v>42</v>
      </c>
      <c r="AK4" s="101" t="s">
        <v>43</v>
      </c>
      <c r="AL4" s="230" t="s">
        <v>20</v>
      </c>
      <c r="AM4" s="230" t="s">
        <v>21</v>
      </c>
      <c r="AN4" s="230" t="s">
        <v>1</v>
      </c>
      <c r="AO4" s="230" t="s">
        <v>20</v>
      </c>
      <c r="AP4" s="230" t="s">
        <v>21</v>
      </c>
      <c r="AQ4" s="230" t="s">
        <v>1</v>
      </c>
      <c r="AR4" s="230" t="s">
        <v>20</v>
      </c>
      <c r="AS4" s="230" t="s">
        <v>21</v>
      </c>
      <c r="AT4" s="230" t="s">
        <v>1</v>
      </c>
      <c r="AU4" s="230" t="s">
        <v>20</v>
      </c>
      <c r="AV4" s="230" t="s">
        <v>21</v>
      </c>
      <c r="AW4" s="230" t="s">
        <v>1</v>
      </c>
      <c r="AX4" s="231" t="s">
        <v>20</v>
      </c>
      <c r="AY4" s="231" t="s">
        <v>21</v>
      </c>
      <c r="AZ4" s="231" t="s">
        <v>1</v>
      </c>
      <c r="BA4" s="231" t="s">
        <v>20</v>
      </c>
      <c r="BB4" s="231" t="s">
        <v>21</v>
      </c>
      <c r="BC4" s="231" t="s">
        <v>1</v>
      </c>
      <c r="BD4" s="232" t="s">
        <v>20</v>
      </c>
      <c r="BE4" s="232" t="s">
        <v>21</v>
      </c>
      <c r="BF4" s="232" t="s">
        <v>1</v>
      </c>
      <c r="BG4" s="231" t="s">
        <v>20</v>
      </c>
      <c r="BH4" s="231" t="s">
        <v>21</v>
      </c>
      <c r="BI4" s="231" t="s">
        <v>1</v>
      </c>
      <c r="BJ4" s="231" t="s">
        <v>20</v>
      </c>
      <c r="BK4" s="231" t="s">
        <v>21</v>
      </c>
      <c r="BL4" s="231" t="s">
        <v>1</v>
      </c>
      <c r="BM4" s="232" t="s">
        <v>20</v>
      </c>
      <c r="BN4" s="232" t="s">
        <v>21</v>
      </c>
      <c r="BO4" s="232" t="s">
        <v>1</v>
      </c>
    </row>
    <row r="5" spans="1:67" x14ac:dyDescent="0.25">
      <c r="A5" s="223">
        <v>2020</v>
      </c>
      <c r="B5" s="308">
        <f>'Network Model Data'!B5</f>
        <v>3659227</v>
      </c>
      <c r="C5" s="308">
        <f>'Network Model Data'!C5</f>
        <v>14544911</v>
      </c>
      <c r="D5" s="308">
        <f>'Network Model Data'!D5</f>
        <v>3824790</v>
      </c>
      <c r="E5" s="308">
        <f>B5</f>
        <v>3659227</v>
      </c>
      <c r="F5" s="308">
        <f t="shared" ref="F5:G5" si="0">C5</f>
        <v>14544911</v>
      </c>
      <c r="G5" s="308">
        <f t="shared" si="0"/>
        <v>3824790</v>
      </c>
      <c r="H5" s="308">
        <f>'Network Model Data'!H5</f>
        <v>61037580</v>
      </c>
      <c r="I5" s="308">
        <f>'Network Model Data'!I5</f>
        <v>239694916</v>
      </c>
      <c r="J5" s="308">
        <f>'Network Model Data'!J5</f>
        <v>56495065</v>
      </c>
      <c r="K5" s="308">
        <f>H5</f>
        <v>61037580</v>
      </c>
      <c r="L5" s="308">
        <f t="shared" ref="L5:L9" si="1">I5</f>
        <v>239694916</v>
      </c>
      <c r="M5" s="308">
        <f t="shared" ref="M5:M9" si="2">J5</f>
        <v>56495065</v>
      </c>
      <c r="N5" s="308">
        <f>'Network Model Data'!N5</f>
        <v>1264290.6499999999</v>
      </c>
      <c r="O5" s="308">
        <f>'Network Model Data'!O5</f>
        <v>5057162.5999999996</v>
      </c>
      <c r="P5" s="308">
        <f>'Network Model Data'!P5</f>
        <v>1071408.8333333333</v>
      </c>
      <c r="Q5" s="308">
        <f>N5</f>
        <v>1264290.6499999999</v>
      </c>
      <c r="R5" s="308">
        <f t="shared" ref="R5:R9" si="3">O5</f>
        <v>5057162.5999999996</v>
      </c>
      <c r="S5" s="308">
        <f t="shared" ref="S5:S9" si="4">P5</f>
        <v>1071408.8333333333</v>
      </c>
      <c r="T5" s="309">
        <f>'Network Model Data'!T5</f>
        <v>0.08</v>
      </c>
      <c r="U5" s="309">
        <f>'Network Model Data'!U5</f>
        <v>0.08</v>
      </c>
      <c r="V5" s="309">
        <f>'Network Model Data'!V5</f>
        <v>0.08</v>
      </c>
      <c r="W5" s="309">
        <f>T5</f>
        <v>0.08</v>
      </c>
      <c r="X5" s="309">
        <f t="shared" ref="X5:X9" si="5">U5</f>
        <v>0.08</v>
      </c>
      <c r="Y5" s="309">
        <f t="shared" ref="Y5:Y9" si="6">V5</f>
        <v>0.08</v>
      </c>
      <c r="Z5" s="310">
        <f>IFERROR((-1.5*T5^4+2.05*T5^3+0.16*T5^2+0.04*T5+0.025)*N5,0)*'Fixed Factors'!$I$13</f>
        <v>53093.762451982548</v>
      </c>
      <c r="AA5" s="310">
        <f>IFERROR((-1.5*U5^4+2.05*U5^3+0.16*U5^2+0.04*U5+0.025)*O5,0)*'Fixed Factors'!$I$14</f>
        <v>212375.04980793019</v>
      </c>
      <c r="AB5" s="310">
        <f>IFERROR((-1.5*V5^4+2.05*V5^3+0.16*V5^2+0.04*V5+0.025)*P5,0)*'Fixed Factors'!$I$15</f>
        <v>32369.57509808</v>
      </c>
      <c r="AC5" s="308">
        <f>IFERROR((-1.5*(W5)^4+2.05*(W5)^3+0.16*(W5)^2+0.04*W5+0.025)*Q5,0)*'Fixed Factors'!$I$13</f>
        <v>53093.762451982548</v>
      </c>
      <c r="AD5" s="308">
        <f>IFERROR((-1.5*(X5)^4+2.05*(X5)^3+0.16*(X5)^2+0.04*X5+0.025)*R5,0)*'Fixed Factors'!$I$14</f>
        <v>212375.04980793019</v>
      </c>
      <c r="AE5" s="308">
        <f>IFERROR((-1.5*(Y5)^4+2.05*(Y5)^3+0.16*(Y5)^2+0.04*Y5+0.025)*S5,0)*'Fixed Factors'!$I$15</f>
        <v>32369.57509808</v>
      </c>
      <c r="AF5" s="311">
        <f>H5/$AF$1*'Network Crash Rates'!$D$4+'Network TDC'!I5/$AF$1*'Network Crash Rates'!$D$5+'Network TDC'!J5/$AF$1*'Network Crash Rates'!$D$6</f>
        <v>2.7778015143359998</v>
      </c>
      <c r="AG5" s="311">
        <f>H5/'Network TDC'!$AF$1*'Network Crash Rates'!$E$4+I5/'Network TDC'!$AF$1*'Network Crash Rates'!$E$5+J5/'Network TDC'!$AF$1*'Network Crash Rates'!$E$6</f>
        <v>125.005712103413</v>
      </c>
      <c r="AH5" s="311">
        <f>H5/$AF$1*'Network Crash Rates'!$F$4+I5/$AF$1*'Network Crash Rates'!$F$5+J5/$AF$1*'Network Crash Rates'!$F$6</f>
        <v>452.79843653213504</v>
      </c>
      <c r="AI5" s="311">
        <f>K5/$AF$1*'Network Crash Rates'!$D$7+L5/$AF$1*'Network Crash Rates'!$D$8+M5/$AF$1*'Network Crash Rates'!$D$9</f>
        <v>2.7778015143359998</v>
      </c>
      <c r="AJ5" s="311">
        <f>K5/$AF$1*'Network Crash Rates'!$E$7+L5/$AF$1*'Network Crash Rates'!$E$8+M5/$AF$1*'Network Crash Rates'!$E$9</f>
        <v>125.005712103413</v>
      </c>
      <c r="AK5" s="311">
        <f>K5/$AF$1*'Network Crash Rates'!$F$7+L5/$AF$1*'Network Crash Rates'!$F$8+M5/$AF$1*'Network Crash Rates'!$F$9</f>
        <v>452.79843653213504</v>
      </c>
      <c r="AL5" s="312">
        <f>E5-B5</f>
        <v>0</v>
      </c>
      <c r="AM5" s="312">
        <f t="shared" ref="AM5:AN5" si="7">F5-C5</f>
        <v>0</v>
      </c>
      <c r="AN5" s="312">
        <f t="shared" si="7"/>
        <v>0</v>
      </c>
      <c r="AO5" s="313">
        <f>K5-H5</f>
        <v>0</v>
      </c>
      <c r="AP5" s="313">
        <f t="shared" ref="AP5:AQ5" si="8">L5-I5</f>
        <v>0</v>
      </c>
      <c r="AQ5" s="313">
        <f t="shared" si="8"/>
        <v>0</v>
      </c>
      <c r="AR5" s="313">
        <f>Q5-N5</f>
        <v>0</v>
      </c>
      <c r="AS5" s="313">
        <f t="shared" ref="AS5:AT5" si="9">R5-O5</f>
        <v>0</v>
      </c>
      <c r="AT5" s="313">
        <f t="shared" si="9"/>
        <v>0</v>
      </c>
      <c r="AU5" s="314">
        <f>W5-T5</f>
        <v>0</v>
      </c>
      <c r="AV5" s="314">
        <f t="shared" ref="AV5:AW5" si="10">X5-U5</f>
        <v>0</v>
      </c>
      <c r="AW5" s="314">
        <f t="shared" si="10"/>
        <v>0</v>
      </c>
      <c r="AX5" s="315">
        <f>H5/B5</f>
        <v>16.680457375287183</v>
      </c>
      <c r="AY5" s="315">
        <f t="shared" ref="AY5:AZ5" si="11">I5/C5</f>
        <v>16.479641298595777</v>
      </c>
      <c r="AZ5" s="315">
        <f t="shared" si="11"/>
        <v>14.770762577814729</v>
      </c>
      <c r="BA5" s="315">
        <f>K5/E5</f>
        <v>16.680457375287183</v>
      </c>
      <c r="BB5" s="315">
        <f t="shared" ref="BB5:BC5" si="12">L5/F5</f>
        <v>16.479641298595777</v>
      </c>
      <c r="BC5" s="315">
        <f t="shared" si="12"/>
        <v>14.770762577814729</v>
      </c>
      <c r="BD5" s="247">
        <f>BA5-AX5</f>
        <v>0</v>
      </c>
      <c r="BE5" s="247">
        <f t="shared" ref="BE5:BF5" si="13">BB5-AY5</f>
        <v>0</v>
      </c>
      <c r="BF5" s="247">
        <f t="shared" si="13"/>
        <v>0</v>
      </c>
      <c r="BG5" s="248">
        <f>H5/N5</f>
        <v>48.278123388795137</v>
      </c>
      <c r="BH5" s="248">
        <f t="shared" ref="BH5:BI5" si="14">I5/O5</f>
        <v>47.39711473781761</v>
      </c>
      <c r="BI5" s="248">
        <f t="shared" si="14"/>
        <v>52.729698731561079</v>
      </c>
      <c r="BJ5" s="248">
        <f>K5/Q5</f>
        <v>48.278123388795137</v>
      </c>
      <c r="BK5" s="248">
        <f t="shared" ref="BK5:BL5" si="15">L5/R5</f>
        <v>47.39711473781761</v>
      </c>
      <c r="BL5" s="248">
        <f t="shared" si="15"/>
        <v>52.729698731561079</v>
      </c>
      <c r="BM5" s="248">
        <f>BJ5-BG5</f>
        <v>0</v>
      </c>
      <c r="BN5" s="248">
        <f t="shared" ref="BN5:BO5" si="16">BK5-BH5</f>
        <v>0</v>
      </c>
      <c r="BO5" s="248">
        <f t="shared" si="16"/>
        <v>0</v>
      </c>
    </row>
    <row r="6" spans="1:67" x14ac:dyDescent="0.25">
      <c r="A6" s="223">
        <v>2021</v>
      </c>
      <c r="B6" s="308">
        <f>'Network Model Data'!B6</f>
        <v>3660875.922019504</v>
      </c>
      <c r="C6" s="308">
        <f>'Network Model Data'!C6</f>
        <v>14550798.207286116</v>
      </c>
      <c r="D6" s="308">
        <f>'Network Model Data'!D6</f>
        <v>3898235.2711699749</v>
      </c>
      <c r="E6" s="308">
        <f t="shared" ref="E6:E9" si="17">B6</f>
        <v>3660875.922019504</v>
      </c>
      <c r="F6" s="308">
        <f t="shared" ref="F6:F9" si="18">C6</f>
        <v>14550798.207286116</v>
      </c>
      <c r="G6" s="308">
        <f t="shared" ref="G6:G9" si="19">D6</f>
        <v>3898235.2711699749</v>
      </c>
      <c r="H6" s="308">
        <f>'Network Model Data'!H6</f>
        <v>61046879.577449642</v>
      </c>
      <c r="I6" s="308">
        <f>'Network Model Data'!I6</f>
        <v>239749260.63878885</v>
      </c>
      <c r="J6" s="308">
        <f>'Network Model Data'!J6</f>
        <v>57526983.703390047</v>
      </c>
      <c r="K6" s="308">
        <f t="shared" ref="K6:K9" si="20">H6</f>
        <v>61046879.577449642</v>
      </c>
      <c r="L6" s="308">
        <f t="shared" si="1"/>
        <v>239749260.63878885</v>
      </c>
      <c r="M6" s="308">
        <f t="shared" si="2"/>
        <v>57526983.703390047</v>
      </c>
      <c r="N6" s="308">
        <f>'Network Model Data'!N6</f>
        <v>1264621.4290548833</v>
      </c>
      <c r="O6" s="308">
        <f>'Network Model Data'!O6</f>
        <v>5058485.7162195332</v>
      </c>
      <c r="P6" s="308">
        <f>'Network Model Data'!P6</f>
        <v>1094580.037907487</v>
      </c>
      <c r="Q6" s="308">
        <f t="shared" ref="Q6" si="21">N6</f>
        <v>1264621.4290548833</v>
      </c>
      <c r="R6" s="308">
        <f t="shared" si="3"/>
        <v>5058485.7162195332</v>
      </c>
      <c r="S6" s="308">
        <f t="shared" si="4"/>
        <v>1094580.037907487</v>
      </c>
      <c r="T6" s="309">
        <f>'Network Model Data'!T6</f>
        <v>0.08</v>
      </c>
      <c r="U6" s="309">
        <f>'Network Model Data'!U6</f>
        <v>0.08</v>
      </c>
      <c r="V6" s="309">
        <f>'Network Model Data'!V6</f>
        <v>0.08</v>
      </c>
      <c r="W6" s="309">
        <f>T6</f>
        <v>0.08</v>
      </c>
      <c r="X6" s="309">
        <f t="shared" si="5"/>
        <v>0.08</v>
      </c>
      <c r="Y6" s="309">
        <f t="shared" si="6"/>
        <v>0.08</v>
      </c>
      <c r="Z6" s="310">
        <f>IFERROR((-1.5*T6^4+2.05*T6^3+0.16*T6^2+0.04*T6+0.025)*N6,0)*'Fixed Factors'!$I$13</f>
        <v>53107.653486108349</v>
      </c>
      <c r="AA6" s="310">
        <f>IFERROR((-1.5*U6^4+2.05*U6^3+0.16*U6^2+0.04*U6+0.025)*O6,0)*'Fixed Factors'!$I$14</f>
        <v>212430.6139444334</v>
      </c>
      <c r="AB6" s="310">
        <f>IFERROR((-1.5*V6^4+2.05*V6^3+0.16*V6^2+0.04*V6+0.025)*P6,0)*'Fixed Factors'!$I$15</f>
        <v>33069.627238067063</v>
      </c>
      <c r="AC6" s="308">
        <f>IFERROR((-1.5*(W6)^4+2.05*(W6)^3+0.16*(W6)^2+0.04*W6+0.025)*Q6,0)*'Fixed Factors'!$I$13</f>
        <v>53107.653486108349</v>
      </c>
      <c r="AD6" s="308">
        <f>IFERROR((-1.5*(X6)^4+2.05*(X6)^3+0.16*(X6)^2+0.04*X6+0.025)*R6,0)*'Fixed Factors'!$I$14</f>
        <v>212430.6139444334</v>
      </c>
      <c r="AE6" s="308">
        <f>IFERROR((-1.5*(Y6)^4+2.05*(Y6)^3+0.16*(Y6)^2+0.04*Y6+0.025)*S6,0)*'Fixed Factors'!$I$15</f>
        <v>33069.627238067063</v>
      </c>
      <c r="AF6" s="311">
        <f>H6/$AF$1*'Network Crash Rates'!$D$4+'Network TDC'!I6/$AF$1*'Network Crash Rates'!$D$5+'Network TDC'!J6/$AF$1*'Network Crash Rates'!$D$6</f>
        <v>2.7863206115990313</v>
      </c>
      <c r="AG6" s="311">
        <f>H6/'Network TDC'!$AF$1*'Network Crash Rates'!$E$4+I6/'Network TDC'!$AF$1*'Network Crash Rates'!$E$5+J6/'Network TDC'!$AF$1*'Network Crash Rates'!$E$6</f>
        <v>125.38908572256736</v>
      </c>
      <c r="AH6" s="311">
        <f>H6/$AF$1*'Network Crash Rates'!$F$4+I6/$AF$1*'Network Crash Rates'!$F$5+J6/$AF$1*'Network Crash Rates'!$F$6</f>
        <v>454.18710087746638</v>
      </c>
      <c r="AI6" s="311">
        <f>K6/$AF$1*'Network Crash Rates'!$D$7+L6/$AF$1*'Network Crash Rates'!$D$8+M6/$AF$1*'Network Crash Rates'!$D$9</f>
        <v>2.7863206115990313</v>
      </c>
      <c r="AJ6" s="311">
        <f>K6/$AF$1*'Network Crash Rates'!$E$7+L6/$AF$1*'Network Crash Rates'!$E$8+M6/$AF$1*'Network Crash Rates'!$E$9</f>
        <v>125.38908572256736</v>
      </c>
      <c r="AK6" s="311">
        <f>K6/$AF$1*'Network Crash Rates'!$F$7+L6/$AF$1*'Network Crash Rates'!$F$8+M6/$AF$1*'Network Crash Rates'!$F$9</f>
        <v>454.18710087746638</v>
      </c>
      <c r="AL6" s="312">
        <f t="shared" ref="AL6:AL18" si="22">E6-B6</f>
        <v>0</v>
      </c>
      <c r="AM6" s="312">
        <f t="shared" ref="AM6:AM19" si="23">F6-C6</f>
        <v>0</v>
      </c>
      <c r="AN6" s="312">
        <f t="shared" ref="AN6:AN19" si="24">G6-D6</f>
        <v>0</v>
      </c>
      <c r="AO6" s="313">
        <f t="shared" ref="AO6:AO29" si="25">K6-H6</f>
        <v>0</v>
      </c>
      <c r="AP6" s="313">
        <f t="shared" ref="AP6:AP29" si="26">L6-I6</f>
        <v>0</v>
      </c>
      <c r="AQ6" s="313">
        <f t="shared" ref="AQ6:AQ29" si="27">M6-J6</f>
        <v>0</v>
      </c>
      <c r="AR6" s="313">
        <f t="shared" ref="AR6:AR29" si="28">Q6-N6</f>
        <v>0</v>
      </c>
      <c r="AS6" s="313">
        <f t="shared" ref="AS6:AS29" si="29">R6-O6</f>
        <v>0</v>
      </c>
      <c r="AT6" s="313">
        <f t="shared" ref="AT6:AT29" si="30">S6-P6</f>
        <v>0</v>
      </c>
      <c r="AU6" s="314">
        <f t="shared" ref="AU6:AU29" si="31">W6-T6</f>
        <v>0</v>
      </c>
      <c r="AV6" s="314">
        <f t="shared" ref="AV6:AV29" si="32">X6-U6</f>
        <v>0</v>
      </c>
      <c r="AW6" s="314">
        <f t="shared" ref="AW6:AW29" si="33">Y6-V6</f>
        <v>0</v>
      </c>
      <c r="AX6" s="315">
        <f t="shared" ref="AX6:AX29" si="34">H6/B6</f>
        <v>16.675484468147019</v>
      </c>
      <c r="AY6" s="315">
        <f t="shared" ref="AY6:AY29" si="35">I6/C6</f>
        <v>16.47670850927873</v>
      </c>
      <c r="AZ6" s="315">
        <f t="shared" ref="AZ6:AZ29" si="36">J6/D6</f>
        <v>14.75718618854026</v>
      </c>
      <c r="BA6" s="315">
        <f t="shared" ref="BA6:BA29" si="37">K6/E6</f>
        <v>16.675484468147019</v>
      </c>
      <c r="BB6" s="315">
        <f t="shared" ref="BB6:BB29" si="38">L6/F6</f>
        <v>16.47670850927873</v>
      </c>
      <c r="BC6" s="315">
        <f t="shared" ref="BC6:BC29" si="39">M6/G6</f>
        <v>14.75718618854026</v>
      </c>
      <c r="BD6" s="247">
        <f t="shared" ref="BD6:BD29" si="40">BA6-AX6</f>
        <v>0</v>
      </c>
      <c r="BE6" s="247">
        <f t="shared" ref="BE6:BE29" si="41">BB6-AY6</f>
        <v>0</v>
      </c>
      <c r="BF6" s="247">
        <f t="shared" ref="BF6:BF29" si="42">BC6-AZ6</f>
        <v>0</v>
      </c>
      <c r="BG6" s="248">
        <f t="shared" ref="BG6:BG29" si="43">H6/N6</f>
        <v>48.272849229728074</v>
      </c>
      <c r="BH6" s="248">
        <f t="shared" ref="BH6:BH29" si="44">I6/O6</f>
        <v>47.395460635592308</v>
      </c>
      <c r="BI6" s="248">
        <f t="shared" ref="BI6:BI29" si="45">J6/P6</f>
        <v>52.556214905366453</v>
      </c>
      <c r="BJ6" s="248">
        <f t="shared" ref="BJ6:BJ29" si="46">K6/Q6</f>
        <v>48.272849229728074</v>
      </c>
      <c r="BK6" s="248">
        <f t="shared" ref="BK6:BK29" si="47">L6/R6</f>
        <v>47.395460635592308</v>
      </c>
      <c r="BL6" s="248">
        <f t="shared" ref="BL6:BL29" si="48">M6/S6</f>
        <v>52.556214905366453</v>
      </c>
      <c r="BM6" s="248">
        <f t="shared" ref="BM6:BM29" si="49">BJ6-BG6</f>
        <v>0</v>
      </c>
      <c r="BN6" s="248">
        <f t="shared" ref="BN6:BN29" si="50">BK6-BH6</f>
        <v>0</v>
      </c>
      <c r="BO6" s="248">
        <f t="shared" ref="BO6:BO29" si="51">BL6-BI6</f>
        <v>0</v>
      </c>
    </row>
    <row r="7" spans="1:67" x14ac:dyDescent="0.25">
      <c r="A7" s="223">
        <v>2022</v>
      </c>
      <c r="B7" s="308">
        <f>'Network Model Data'!B7</f>
        <v>3662525.5870767669</v>
      </c>
      <c r="C7" s="308">
        <f>'Network Model Data'!C7</f>
        <v>14556687.797481939</v>
      </c>
      <c r="D7" s="308">
        <f>'Network Model Data'!D7</f>
        <v>3973090.8701899052</v>
      </c>
      <c r="E7" s="308">
        <f t="shared" si="17"/>
        <v>3662525.5870767669</v>
      </c>
      <c r="F7" s="308">
        <f t="shared" si="18"/>
        <v>14556687.797481939</v>
      </c>
      <c r="G7" s="308">
        <f t="shared" si="19"/>
        <v>3973090.8701899052</v>
      </c>
      <c r="H7" s="308">
        <f>'Network Model Data'!H7</f>
        <v>61056180.571766414</v>
      </c>
      <c r="I7" s="308">
        <f>'Network Model Data'!I7</f>
        <v>239803617.59882262</v>
      </c>
      <c r="J7" s="308">
        <f>'Network Model Data'!J7</f>
        <v>58577751.065692268</v>
      </c>
      <c r="K7" s="308">
        <f t="shared" si="20"/>
        <v>61056180.571766414</v>
      </c>
      <c r="L7" s="308">
        <f t="shared" si="1"/>
        <v>239803617.59882262</v>
      </c>
      <c r="M7" s="308">
        <f t="shared" si="2"/>
        <v>58577751.065692268</v>
      </c>
      <c r="N7" s="308">
        <f>'Network Model Data'!N7</f>
        <v>1264952.2946521952</v>
      </c>
      <c r="O7" s="308">
        <f>'Network Model Data'!O7</f>
        <v>5059809.1786087807</v>
      </c>
      <c r="P7" s="308">
        <f>'Network Model Data'!P7</f>
        <v>1118252.3627867131</v>
      </c>
      <c r="Q7" s="308">
        <f>N7</f>
        <v>1264952.2946521952</v>
      </c>
      <c r="R7" s="308">
        <f t="shared" si="3"/>
        <v>5059809.1786087807</v>
      </c>
      <c r="S7" s="308">
        <f t="shared" si="4"/>
        <v>1118252.3627867131</v>
      </c>
      <c r="T7" s="309">
        <f>'Network Model Data'!T7</f>
        <v>0.08</v>
      </c>
      <c r="U7" s="309">
        <f>'Network Model Data'!U7</f>
        <v>0.08</v>
      </c>
      <c r="V7" s="309">
        <f>'Network Model Data'!V7</f>
        <v>0.08</v>
      </c>
      <c r="W7" s="309">
        <f>T7</f>
        <v>0.08</v>
      </c>
      <c r="X7" s="309">
        <f t="shared" si="5"/>
        <v>0.08</v>
      </c>
      <c r="Y7" s="309">
        <f t="shared" si="6"/>
        <v>0.08</v>
      </c>
      <c r="Z7" s="310">
        <f>IFERROR((-1.5*T7^4+2.05*T7^3+0.16*T7^2+0.04*T7+0.025)*N7,0)*'Fixed Factors'!$I$13</f>
        <v>53121.548154574979</v>
      </c>
      <c r="AA7" s="310">
        <f>IFERROR((-1.5*U7^4+2.05*U7^3+0.16*U7^2+0.04*U7+0.025)*O7,0)*'Fixed Factors'!$I$14</f>
        <v>212486.19261829992</v>
      </c>
      <c r="AB7" s="310">
        <f>IFERROR((-1.5*V7^4+2.05*V7^3+0.16*V7^2+0.04*V7+0.025)*P7,0)*'Fixed Factors'!$I$15</f>
        <v>33784.819304890225</v>
      </c>
      <c r="AC7" s="308">
        <f>IFERROR((-1.5*(W7)^4+2.05*(W7)^3+0.16*(W7)^2+0.04*W7+0.025)*Q7,0)*'Fixed Factors'!$I$13</f>
        <v>53121.548154574979</v>
      </c>
      <c r="AD7" s="308">
        <f>IFERROR((-1.5*(X7)^4+2.05*(X7)^3+0.16*(X7)^2+0.04*X7+0.025)*R7,0)*'Fixed Factors'!$I$14</f>
        <v>212486.19261829992</v>
      </c>
      <c r="AE7" s="308">
        <f>IFERROR((-1.5*(Y7)^4+2.05*(Y7)^3+0.16*(Y7)^2+0.04*Y7+0.025)*S7,0)*'Fixed Factors'!$I$15</f>
        <v>33784.819304890225</v>
      </c>
      <c r="AF7" s="311">
        <f>H7/$AF$1*'Network Crash Rates'!$D$4+'Network TDC'!I7/$AF$1*'Network Crash Rates'!$D$5+'Network TDC'!J7/$AF$1*'Network Crash Rates'!$D$6</f>
        <v>2.7949863828613228</v>
      </c>
      <c r="AG7" s="311">
        <f>H7/'Network TDC'!$AF$1*'Network Crash Rates'!$E$4+I7/'Network TDC'!$AF$1*'Network Crash Rates'!$E$5+J7/'Network TDC'!$AF$1*'Network Crash Rates'!$E$6</f>
        <v>125.77905991689961</v>
      </c>
      <c r="AH7" s="311">
        <f>H7/$AF$1*'Network Crash Rates'!$F$4+I7/$AF$1*'Network Crash Rates'!$F$5+J7/$AF$1*'Network Crash Rates'!$F$6</f>
        <v>455.59967397120977</v>
      </c>
      <c r="AI7" s="311">
        <f>K7/$AF$1*'Network Crash Rates'!$D$7+L7/$AF$1*'Network Crash Rates'!$D$8+M7/$AF$1*'Network Crash Rates'!$D$9</f>
        <v>2.7949863828613228</v>
      </c>
      <c r="AJ7" s="311">
        <f>K7/$AF$1*'Network Crash Rates'!$E$7+L7/$AF$1*'Network Crash Rates'!$E$8+M7/$AF$1*'Network Crash Rates'!$E$9</f>
        <v>125.77905991689961</v>
      </c>
      <c r="AK7" s="311">
        <f>K7/$AF$1*'Network Crash Rates'!$F$7+L7/$AF$1*'Network Crash Rates'!$F$8+M7/$AF$1*'Network Crash Rates'!$F$9</f>
        <v>455.59967397120977</v>
      </c>
      <c r="AL7" s="312">
        <f t="shared" si="22"/>
        <v>0</v>
      </c>
      <c r="AM7" s="312">
        <f t="shared" si="23"/>
        <v>0</v>
      </c>
      <c r="AN7" s="312">
        <f t="shared" si="24"/>
        <v>0</v>
      </c>
      <c r="AO7" s="313">
        <f t="shared" si="25"/>
        <v>0</v>
      </c>
      <c r="AP7" s="313">
        <f t="shared" si="26"/>
        <v>0</v>
      </c>
      <c r="AQ7" s="313">
        <f t="shared" si="27"/>
        <v>0</v>
      </c>
      <c r="AR7" s="313">
        <f t="shared" si="28"/>
        <v>0</v>
      </c>
      <c r="AS7" s="313">
        <f t="shared" si="29"/>
        <v>0</v>
      </c>
      <c r="AT7" s="313">
        <f t="shared" si="30"/>
        <v>0</v>
      </c>
      <c r="AU7" s="314">
        <f t="shared" si="31"/>
        <v>0</v>
      </c>
      <c r="AV7" s="314">
        <f t="shared" si="32"/>
        <v>0</v>
      </c>
      <c r="AW7" s="314">
        <f t="shared" si="33"/>
        <v>0</v>
      </c>
      <c r="AX7" s="315">
        <f t="shared" si="34"/>
        <v>16.670513043568445</v>
      </c>
      <c r="AY7" s="315">
        <f t="shared" si="35"/>
        <v>16.473776241893749</v>
      </c>
      <c r="AZ7" s="315">
        <f t="shared" si="36"/>
        <v>14.743622277859549</v>
      </c>
      <c r="BA7" s="315">
        <f t="shared" si="37"/>
        <v>16.670513043568445</v>
      </c>
      <c r="BB7" s="315">
        <f t="shared" si="38"/>
        <v>16.473776241893749</v>
      </c>
      <c r="BC7" s="315">
        <f t="shared" si="39"/>
        <v>14.743622277859549</v>
      </c>
      <c r="BD7" s="247">
        <f t="shared" si="40"/>
        <v>0</v>
      </c>
      <c r="BE7" s="247">
        <f t="shared" si="41"/>
        <v>0</v>
      </c>
      <c r="BF7" s="247">
        <f t="shared" si="42"/>
        <v>0</v>
      </c>
      <c r="BG7" s="248">
        <f t="shared" si="43"/>
        <v>48.267575646838218</v>
      </c>
      <c r="BH7" s="248">
        <f t="shared" si="44"/>
        <v>47.393806591093181</v>
      </c>
      <c r="BI7" s="248">
        <f t="shared" si="45"/>
        <v>52.383301851216338</v>
      </c>
      <c r="BJ7" s="248">
        <f t="shared" si="46"/>
        <v>48.267575646838218</v>
      </c>
      <c r="BK7" s="248">
        <f t="shared" si="47"/>
        <v>47.393806591093181</v>
      </c>
      <c r="BL7" s="248">
        <f t="shared" si="48"/>
        <v>52.383301851216338</v>
      </c>
      <c r="BM7" s="248">
        <f t="shared" si="49"/>
        <v>0</v>
      </c>
      <c r="BN7" s="248">
        <f t="shared" si="50"/>
        <v>0</v>
      </c>
      <c r="BO7" s="248">
        <f t="shared" si="51"/>
        <v>0</v>
      </c>
    </row>
    <row r="8" spans="1:67" x14ac:dyDescent="0.25">
      <c r="A8" s="223">
        <v>2023</v>
      </c>
      <c r="B8" s="308">
        <f>'Network Model Data'!B8</f>
        <v>3664175.9955066149</v>
      </c>
      <c r="C8" s="308">
        <f>'Network Model Data'!C8</f>
        <v>14562579.77155198</v>
      </c>
      <c r="D8" s="308">
        <f>'Network Model Data'!D8</f>
        <v>4049383.8787848996</v>
      </c>
      <c r="E8" s="308">
        <f t="shared" si="17"/>
        <v>3664175.9955066149</v>
      </c>
      <c r="F8" s="308">
        <f t="shared" si="18"/>
        <v>14562579.77155198</v>
      </c>
      <c r="G8" s="308">
        <f t="shared" si="19"/>
        <v>4049383.8787848996</v>
      </c>
      <c r="H8" s="308">
        <f>'Network Model Data'!H8</f>
        <v>61065482.983166181</v>
      </c>
      <c r="I8" s="308">
        <f>'Network Model Data'!I8</f>
        <v>239857986.88289484</v>
      </c>
      <c r="J8" s="308">
        <f>'Network Model Data'!J8</f>
        <v>59647711.369786337</v>
      </c>
      <c r="K8" s="308">
        <f t="shared" si="20"/>
        <v>61065482.983166181</v>
      </c>
      <c r="L8" s="308">
        <f t="shared" si="1"/>
        <v>239857986.88289484</v>
      </c>
      <c r="M8" s="308">
        <f t="shared" si="2"/>
        <v>59647711.369786337</v>
      </c>
      <c r="N8" s="308">
        <f>'Network Model Data'!N8</f>
        <v>1265283.2468145776</v>
      </c>
      <c r="O8" s="308">
        <f>'Network Model Data'!O8</f>
        <v>5061132.9872583104</v>
      </c>
      <c r="P8" s="308">
        <f>'Network Model Data'!P8</f>
        <v>1142436.6456276968</v>
      </c>
      <c r="Q8" s="308">
        <f>N8</f>
        <v>1265283.2468145776</v>
      </c>
      <c r="R8" s="308">
        <f t="shared" si="3"/>
        <v>5061132.9872583104</v>
      </c>
      <c r="S8" s="308">
        <f t="shared" si="4"/>
        <v>1142436.6456276968</v>
      </c>
      <c r="T8" s="309">
        <f>'Network Model Data'!T8</f>
        <v>0.08</v>
      </c>
      <c r="U8" s="309">
        <f>'Network Model Data'!U8</f>
        <v>0.08</v>
      </c>
      <c r="V8" s="309">
        <f>'Network Model Data'!V8</f>
        <v>0.08</v>
      </c>
      <c r="W8" s="309">
        <f>T8</f>
        <v>0.08</v>
      </c>
      <c r="X8" s="309">
        <f t="shared" si="5"/>
        <v>0.08</v>
      </c>
      <c r="Y8" s="309">
        <f t="shared" si="6"/>
        <v>0.08</v>
      </c>
      <c r="Z8" s="310">
        <f>IFERROR((-1.5*T8^4+2.05*T8^3+0.16*T8^2+0.04*T8+0.025)*N8,0)*'Fixed Factors'!$I$13</f>
        <v>53135.446458333296</v>
      </c>
      <c r="AA8" s="310">
        <f>IFERROR((-1.5*U8^4+2.05*U8^3+0.16*U8^2+0.04*U8+0.025)*O8,0)*'Fixed Factors'!$I$14</f>
        <v>212541.78583333318</v>
      </c>
      <c r="AB8" s="310">
        <f>IFERROR((-1.5*V8^4+2.05*V8^3+0.16*V8^2+0.04*V8+0.025)*P8,0)*'Fixed Factors'!$I$15</f>
        <v>34515.478727567279</v>
      </c>
      <c r="AC8" s="308">
        <f>IFERROR((-1.5*(W8)^4+2.05*(W8)^3+0.16*(W8)^2+0.04*W8+0.025)*Q8,0)*'Fixed Factors'!$I$13</f>
        <v>53135.446458333296</v>
      </c>
      <c r="AD8" s="308">
        <f>IFERROR((-1.5*(X8)^4+2.05*(X8)^3+0.16*(X8)^2+0.04*X8+0.025)*R8,0)*'Fixed Factors'!$I$14</f>
        <v>212541.78583333318</v>
      </c>
      <c r="AE8" s="308">
        <f>IFERROR((-1.5*(Y8)^4+2.05*(Y8)^3+0.16*(Y8)^2+0.04*Y8+0.025)*S8,0)*'Fixed Factors'!$I$15</f>
        <v>34515.478727567279</v>
      </c>
      <c r="AF8" s="311">
        <f>H8/$AF$1*'Network Crash Rates'!$D$4+'Network TDC'!I8/$AF$1*'Network Crash Rates'!$D$5+'Network TDC'!J8/$AF$1*'Network Crash Rates'!$D$6</f>
        <v>2.8038015052899494</v>
      </c>
      <c r="AG8" s="311">
        <f>H8/'Network TDC'!$AF$1*'Network Crash Rates'!$E$4+I8/'Network TDC'!$AF$1*'Network Crash Rates'!$E$5+J8/'Network TDC'!$AF$1*'Network Crash Rates'!$E$6</f>
        <v>126.17575516340378</v>
      </c>
      <c r="AH8" s="311">
        <f>H8/$AF$1*'Network Crash Rates'!$F$4+I8/$AF$1*'Network Crash Rates'!$F$5+J8/$AF$1*'Network Crash Rates'!$F$6</f>
        <v>457.03659220777985</v>
      </c>
      <c r="AI8" s="311">
        <f>K8/$AF$1*'Network Crash Rates'!$D$7+L8/$AF$1*'Network Crash Rates'!$D$8+M8/$AF$1*'Network Crash Rates'!$D$9</f>
        <v>2.8038015052899494</v>
      </c>
      <c r="AJ8" s="311">
        <f>K8/$AF$1*'Network Crash Rates'!$E$7+L8/$AF$1*'Network Crash Rates'!$E$8+M8/$AF$1*'Network Crash Rates'!$E$9</f>
        <v>126.17575516340378</v>
      </c>
      <c r="AK8" s="311">
        <f>K8/$AF$1*'Network Crash Rates'!$F$7+L8/$AF$1*'Network Crash Rates'!$F$8+M8/$AF$1*'Network Crash Rates'!$F$9</f>
        <v>457.03659220777985</v>
      </c>
      <c r="AL8" s="312">
        <f t="shared" si="22"/>
        <v>0</v>
      </c>
      <c r="AM8" s="312">
        <f t="shared" si="23"/>
        <v>0</v>
      </c>
      <c r="AN8" s="312">
        <f t="shared" si="24"/>
        <v>0</v>
      </c>
      <c r="AO8" s="313">
        <f t="shared" si="25"/>
        <v>0</v>
      </c>
      <c r="AP8" s="313">
        <f t="shared" si="26"/>
        <v>0</v>
      </c>
      <c r="AQ8" s="313">
        <f t="shared" si="27"/>
        <v>0</v>
      </c>
      <c r="AR8" s="313">
        <f t="shared" si="28"/>
        <v>0</v>
      </c>
      <c r="AS8" s="313">
        <f t="shared" si="29"/>
        <v>0</v>
      </c>
      <c r="AT8" s="313">
        <f t="shared" si="30"/>
        <v>0</v>
      </c>
      <c r="AU8" s="314">
        <f t="shared" si="31"/>
        <v>0</v>
      </c>
      <c r="AV8" s="314">
        <f t="shared" si="32"/>
        <v>0</v>
      </c>
      <c r="AW8" s="314">
        <f t="shared" si="33"/>
        <v>0</v>
      </c>
      <c r="AX8" s="315">
        <f t="shared" si="34"/>
        <v>16.665543101109467</v>
      </c>
      <c r="AY8" s="315">
        <f t="shared" si="35"/>
        <v>16.470844496347944</v>
      </c>
      <c r="AZ8" s="315">
        <f t="shared" si="36"/>
        <v>14.730070834303033</v>
      </c>
      <c r="BA8" s="315">
        <f t="shared" si="37"/>
        <v>16.665543101109467</v>
      </c>
      <c r="BB8" s="315">
        <f t="shared" si="38"/>
        <v>16.470844496347944</v>
      </c>
      <c r="BC8" s="315">
        <f t="shared" si="39"/>
        <v>14.730070834303033</v>
      </c>
      <c r="BD8" s="247">
        <f t="shared" si="40"/>
        <v>0</v>
      </c>
      <c r="BE8" s="247">
        <f t="shared" si="41"/>
        <v>0</v>
      </c>
      <c r="BF8" s="247">
        <f t="shared" si="42"/>
        <v>0</v>
      </c>
      <c r="BG8" s="248">
        <f t="shared" si="43"/>
        <v>48.262302640062607</v>
      </c>
      <c r="BH8" s="248">
        <f t="shared" si="44"/>
        <v>47.392152604318234</v>
      </c>
      <c r="BI8" s="248">
        <f t="shared" si="45"/>
        <v>52.210957691236949</v>
      </c>
      <c r="BJ8" s="248">
        <f t="shared" si="46"/>
        <v>48.262302640062607</v>
      </c>
      <c r="BK8" s="248">
        <f t="shared" si="47"/>
        <v>47.392152604318234</v>
      </c>
      <c r="BL8" s="248">
        <f t="shared" si="48"/>
        <v>52.210957691236949</v>
      </c>
      <c r="BM8" s="248">
        <f t="shared" si="49"/>
        <v>0</v>
      </c>
      <c r="BN8" s="248">
        <f t="shared" si="50"/>
        <v>0</v>
      </c>
      <c r="BO8" s="248">
        <f t="shared" si="51"/>
        <v>0</v>
      </c>
    </row>
    <row r="9" spans="1:67" x14ac:dyDescent="0.25">
      <c r="A9" s="223">
        <v>2024</v>
      </c>
      <c r="B9" s="308">
        <f>'Network Model Data'!B9</f>
        <v>3665827.1476440285</v>
      </c>
      <c r="C9" s="308">
        <f>'Network Model Data'!C9</f>
        <v>14568474.130461138</v>
      </c>
      <c r="D9" s="308">
        <f>'Network Model Data'!D9</f>
        <v>4127141.8987150602</v>
      </c>
      <c r="E9" s="308">
        <f t="shared" si="17"/>
        <v>3665827.1476440285</v>
      </c>
      <c r="F9" s="308">
        <f t="shared" si="18"/>
        <v>14568474.130461138</v>
      </c>
      <c r="G9" s="308">
        <f t="shared" si="19"/>
        <v>4127141.8987150602</v>
      </c>
      <c r="H9" s="308">
        <f>'Network Model Data'!H9</f>
        <v>61074786.811864853</v>
      </c>
      <c r="I9" s="308">
        <f>'Network Model Data'!I9</f>
        <v>239912368.49379966</v>
      </c>
      <c r="J9" s="308">
        <f>'Network Model Data'!J9</f>
        <v>60737215.187100179</v>
      </c>
      <c r="K9" s="308">
        <f t="shared" si="20"/>
        <v>61074786.811864853</v>
      </c>
      <c r="L9" s="308">
        <f t="shared" si="1"/>
        <v>239912368.49379966</v>
      </c>
      <c r="M9" s="308">
        <f t="shared" si="2"/>
        <v>60737215.187100179</v>
      </c>
      <c r="N9" s="308">
        <f>'Network Model Data'!N9</f>
        <v>1265614.2855646792</v>
      </c>
      <c r="O9" s="308">
        <f>'Network Model Data'!O9</f>
        <v>5062457.1422587167</v>
      </c>
      <c r="P9" s="308">
        <f>'Network Model Data'!P9</f>
        <v>1167143.9584715639</v>
      </c>
      <c r="Q9" s="308">
        <f>N9</f>
        <v>1265614.2855646792</v>
      </c>
      <c r="R9" s="308">
        <f t="shared" si="3"/>
        <v>5062457.1422587167</v>
      </c>
      <c r="S9" s="308">
        <f t="shared" si="4"/>
        <v>1167143.9584715639</v>
      </c>
      <c r="T9" s="309">
        <f>'Network Model Data'!T9</f>
        <v>0.08</v>
      </c>
      <c r="U9" s="309">
        <f>'Network Model Data'!U9</f>
        <v>0.08</v>
      </c>
      <c r="V9" s="309">
        <f>'Network Model Data'!V9</f>
        <v>0.08</v>
      </c>
      <c r="W9" s="309">
        <f>T9</f>
        <v>0.08</v>
      </c>
      <c r="X9" s="309">
        <f t="shared" si="5"/>
        <v>0.08</v>
      </c>
      <c r="Y9" s="309">
        <f t="shared" si="6"/>
        <v>0.08</v>
      </c>
      <c r="Z9" s="310">
        <f>IFERROR((-1.5*T9^4+2.05*T9^3+0.16*T9^2+0.04*T9+0.025)*N9,0)*'Fixed Factors'!$I$13</f>
        <v>53149.348398334434</v>
      </c>
      <c r="AA9" s="310">
        <f>IFERROR((-1.5*U9^4+2.05*U9^3+0.16*U9^2+0.04*U9+0.025)*O9,0)*'Fixed Factors'!$I$14</f>
        <v>212597.39359333774</v>
      </c>
      <c r="AB9" s="310">
        <f>IFERROR((-1.5*V9^4+2.05*V9^3+0.16*V9^2+0.04*V9+0.025)*P9,0)*'Fixed Factors'!$I$15</f>
        <v>35261.940016376248</v>
      </c>
      <c r="AC9" s="308">
        <f>IFERROR((-1.5*(W9)^4+2.05*(W9)^3+0.16*(W9)^2+0.04*W9+0.025)*Q9,0)*'Fixed Factors'!$I$13</f>
        <v>53149.348398334434</v>
      </c>
      <c r="AD9" s="308">
        <f>IFERROR((-1.5*(X9)^4+2.05*(X9)^3+0.16*(X9)^2+0.04*X9+0.025)*R9,0)*'Fixed Factors'!$I$14</f>
        <v>212597.39359333774</v>
      </c>
      <c r="AE9" s="308">
        <f>IFERROR((-1.5*(Y9)^4+2.05*(Y9)^3+0.16*(Y9)^2+0.04*Y9+0.025)*S9,0)*'Fixed Factors'!$I$15</f>
        <v>35261.940016376248</v>
      </c>
      <c r="AF9" s="311">
        <f>H9/$AF$1*'Network Crash Rates'!$D$4+'Network TDC'!I9/$AF$1*'Network Crash Rates'!$D$5+'Network TDC'!J9/$AF$1*'Network Crash Rates'!$D$6</f>
        <v>2.812768704951738</v>
      </c>
      <c r="AG9" s="311">
        <f>H9/'Network TDC'!$AF$1*'Network Crash Rates'!$E$4+I9/'Network TDC'!$AF$1*'Network Crash Rates'!$E$5+J9/'Network TDC'!$AF$1*'Network Crash Rates'!$E$6</f>
        <v>126.57929413964462</v>
      </c>
      <c r="AH9" s="311">
        <f>H9/$AF$1*'Network Crash Rates'!$F$4+I9/$AF$1*'Network Crash Rates'!$F$5+J9/$AF$1*'Network Crash Rates'!$F$6</f>
        <v>458.49829995254652</v>
      </c>
      <c r="AI9" s="311">
        <f>K9/$AF$1*'Network Crash Rates'!$D$7+L9/$AF$1*'Network Crash Rates'!$D$8+M9/$AF$1*'Network Crash Rates'!$D$9</f>
        <v>2.812768704951738</v>
      </c>
      <c r="AJ9" s="311">
        <f>K9/$AF$1*'Network Crash Rates'!$E$7+L9/$AF$1*'Network Crash Rates'!$E$8+M9/$AF$1*'Network Crash Rates'!$E$9</f>
        <v>126.57929413964462</v>
      </c>
      <c r="AK9" s="311">
        <f>K9/$AF$1*'Network Crash Rates'!$F$7+L9/$AF$1*'Network Crash Rates'!$F$8+M9/$AF$1*'Network Crash Rates'!$F$9</f>
        <v>458.49829995254652</v>
      </c>
      <c r="AL9" s="312">
        <f t="shared" si="22"/>
        <v>0</v>
      </c>
      <c r="AM9" s="312">
        <f t="shared" si="23"/>
        <v>0</v>
      </c>
      <c r="AN9" s="312">
        <f t="shared" si="24"/>
        <v>0</v>
      </c>
      <c r="AO9" s="313">
        <f t="shared" si="25"/>
        <v>0</v>
      </c>
      <c r="AP9" s="313">
        <f t="shared" si="26"/>
        <v>0</v>
      </c>
      <c r="AQ9" s="313">
        <f t="shared" si="27"/>
        <v>0</v>
      </c>
      <c r="AR9" s="313">
        <f t="shared" si="28"/>
        <v>0</v>
      </c>
      <c r="AS9" s="313">
        <f t="shared" si="29"/>
        <v>0</v>
      </c>
      <c r="AT9" s="313">
        <f t="shared" si="30"/>
        <v>0</v>
      </c>
      <c r="AU9" s="314">
        <f t="shared" si="31"/>
        <v>0</v>
      </c>
      <c r="AV9" s="314">
        <f t="shared" si="32"/>
        <v>0</v>
      </c>
      <c r="AW9" s="314">
        <f t="shared" si="33"/>
        <v>0</v>
      </c>
      <c r="AX9" s="315">
        <f t="shared" si="34"/>
        <v>16.660574640328225</v>
      </c>
      <c r="AY9" s="315">
        <f t="shared" si="35"/>
        <v>16.467913272548447</v>
      </c>
      <c r="AZ9" s="315">
        <f t="shared" si="36"/>
        <v>14.716531846411687</v>
      </c>
      <c r="BA9" s="315">
        <f t="shared" si="37"/>
        <v>16.660574640328225</v>
      </c>
      <c r="BB9" s="315">
        <f t="shared" si="38"/>
        <v>16.467913272548447</v>
      </c>
      <c r="BC9" s="315">
        <f t="shared" si="39"/>
        <v>14.716531846411687</v>
      </c>
      <c r="BD9" s="247">
        <f t="shared" si="40"/>
        <v>0</v>
      </c>
      <c r="BE9" s="247">
        <f t="shared" si="41"/>
        <v>0</v>
      </c>
      <c r="BF9" s="247">
        <f t="shared" si="42"/>
        <v>0</v>
      </c>
      <c r="BG9" s="248">
        <f t="shared" si="43"/>
        <v>48.257030209338318</v>
      </c>
      <c r="BH9" s="248">
        <f t="shared" si="44"/>
        <v>47.390498675265412</v>
      </c>
      <c r="BI9" s="248">
        <f t="shared" si="45"/>
        <v>52.039180553732841</v>
      </c>
      <c r="BJ9" s="248">
        <f t="shared" si="46"/>
        <v>48.257030209338318</v>
      </c>
      <c r="BK9" s="248">
        <f t="shared" si="47"/>
        <v>47.390498675265412</v>
      </c>
      <c r="BL9" s="248">
        <f t="shared" si="48"/>
        <v>52.039180553732841</v>
      </c>
      <c r="BM9" s="248">
        <f t="shared" si="49"/>
        <v>0</v>
      </c>
      <c r="BN9" s="248">
        <f t="shared" si="50"/>
        <v>0</v>
      </c>
      <c r="BO9" s="248">
        <f t="shared" si="51"/>
        <v>0</v>
      </c>
    </row>
    <row r="10" spans="1:67" x14ac:dyDescent="0.25">
      <c r="A10" s="203">
        <v>2025</v>
      </c>
      <c r="B10" s="219">
        <f>'Network Model Data'!B10</f>
        <v>3667479.0438241358</v>
      </c>
      <c r="C10" s="219">
        <f>'Network Model Data'!C10</f>
        <v>14574370.875174696</v>
      </c>
      <c r="D10" s="219">
        <f>'Network Model Data'!D10</f>
        <v>4206393.0617614212</v>
      </c>
      <c r="E10" s="219">
        <f>'Network Model Data'!E10</f>
        <v>3667479.0438241358</v>
      </c>
      <c r="F10" s="219">
        <f>'Network Model Data'!F10</f>
        <v>14574370.875174696</v>
      </c>
      <c r="G10" s="219">
        <f>'Network Model Data'!G10</f>
        <v>4206393.0617614212</v>
      </c>
      <c r="H10" s="219">
        <f>'Network Model Data'!H10</f>
        <v>61084092.058078371</v>
      </c>
      <c r="I10" s="219">
        <f>'Network Model Data'!I10</f>
        <v>239966762.43433186</v>
      </c>
      <c r="J10" s="219">
        <f>'Network Model Data'!J10</f>
        <v>61846619.49247437</v>
      </c>
      <c r="K10" s="219">
        <f>'Network Model Data'!K10</f>
        <v>60858313.101325393</v>
      </c>
      <c r="L10" s="219">
        <f>'Network Model Data'!L10</f>
        <v>239053018.80430177</v>
      </c>
      <c r="M10" s="219">
        <f>'Network Model Data'!M10</f>
        <v>61545074.805082925</v>
      </c>
      <c r="N10" s="219">
        <f>'Network Model Data'!N10</f>
        <v>1265945.4109251539</v>
      </c>
      <c r="O10" s="219">
        <f>'Network Model Data'!O10</f>
        <v>5063781.6437006155</v>
      </c>
      <c r="P10" s="219">
        <f>'Network Model Data'!P10</f>
        <v>1192385.6128128795</v>
      </c>
      <c r="Q10" s="219">
        <f>'Network Model Data'!Q10</f>
        <v>1231484.9591206512</v>
      </c>
      <c r="R10" s="219">
        <f>'Network Model Data'!R10</f>
        <v>4925939.836482605</v>
      </c>
      <c r="S10" s="219">
        <f>'Network Model Data'!S10</f>
        <v>1108124.7220314636</v>
      </c>
      <c r="T10" s="246">
        <f>'Network Model Data'!T10</f>
        <v>0.08</v>
      </c>
      <c r="U10" s="246">
        <f>'Network Model Data'!U10</f>
        <v>0.08</v>
      </c>
      <c r="V10" s="246">
        <f>'Network Model Data'!V10</f>
        <v>0.08</v>
      </c>
      <c r="W10" s="246">
        <f>'Network Model Data'!W10</f>
        <v>0.08</v>
      </c>
      <c r="X10" s="246">
        <f>'Network Model Data'!X10</f>
        <v>0.08</v>
      </c>
      <c r="Y10" s="246">
        <f>'Network Model Data'!Y10</f>
        <v>0.08</v>
      </c>
      <c r="Z10" s="220">
        <f>IFERROR((-1.5*T10^4+2.05*T10^3+0.16*T10^2+0.04*T10+0.025)*N10,0)*'Fixed Factors'!$I$13</f>
        <v>53163.253975529726</v>
      </c>
      <c r="AA10" s="220">
        <f>IFERROR((-1.5*U10^4+2.05*U10^3+0.16*U10^2+0.04*U10+0.025)*O10,0)*'Fixed Factors'!$I$14</f>
        <v>212653.0159021189</v>
      </c>
      <c r="AB10" s="102">
        <f>IFERROR((-1.5*V10^4+2.05*V10^3+0.16*V10^2+0.04*V10+0.025)*P10,0)*'Fixed Factors'!$I$15</f>
        <v>36024.54491600077</v>
      </c>
      <c r="AC10" s="103">
        <f>IFERROR((-1.5*(W10)^4+2.05*(W10)^3+0.16*(W10)^2+0.04*W10+0.025)*Q10,0)*'Fixed Factors'!$I$13</f>
        <v>51716.09066533974</v>
      </c>
      <c r="AD10" s="103">
        <f>IFERROR((-1.5*(X10)^4+2.05*(X10)^3+0.16*(X10)^2+0.04*X10+0.025)*R10,0)*'Fixed Factors'!$I$14</f>
        <v>206864.36266135896</v>
      </c>
      <c r="AE10" s="103">
        <f>IFERROR((-1.5*(Y10)^4+2.05*(Y10)^3+0.16*(Y10)^2+0.04*Y10+0.025)*S10,0)*'Fixed Factors'!$I$15</f>
        <v>33478.841401970109</v>
      </c>
      <c r="AF10" s="224">
        <f>H10/$AF$1*'Network Crash Rates'!$D$4+'Network TDC'!I10/$AF$1*'Network Crash Rates'!$D$5+'Network TDC'!J10/$AF$1*'Network Crash Rates'!$D$6</f>
        <v>2.8218907577064627</v>
      </c>
      <c r="AG10" s="224">
        <f>H10/'Network TDC'!$AF$1*'Network Crash Rates'!$E$4+I10/'Network TDC'!$AF$1*'Network Crash Rates'!$E$5+J10/'Network TDC'!$AF$1*'Network Crash Rates'!$E$6</f>
        <v>126.98980176395264</v>
      </c>
      <c r="AH10" s="224">
        <f>H10/$AF$1*'Network Crash Rates'!$F$4+I10/$AF$1*'Network Crash Rates'!$F$5+J10/$AF$1*'Network Crash Rates'!$F$6</f>
        <v>459.98524968743072</v>
      </c>
      <c r="AI10" s="224">
        <f>K10/$AF$1*'Network Crash Rates'!$D$7+L10/$AF$1*'Network Crash Rates'!$D$8+M10/$AF$1*'Network Crash Rates'!$D$9</f>
        <v>2.8106850185824812</v>
      </c>
      <c r="AJ10" s="225">
        <f>K10/$AF$1*'Network Crash Rates'!$E$7+L10/$AF$1*'Network Crash Rates'!$E$8+M10/$AF$1*'Network Crash Rates'!$E$9</f>
        <v>126.48552476949891</v>
      </c>
      <c r="AK10" s="225">
        <f>K10/$AF$1*'Network Crash Rates'!$F$7+L10/$AF$1*'Network Crash Rates'!$F$8+M10/$AF$1*'Network Crash Rates'!$F$9</f>
        <v>458.15864648005993</v>
      </c>
      <c r="AL10" s="238">
        <f t="shared" si="22"/>
        <v>0</v>
      </c>
      <c r="AM10" s="238">
        <f t="shared" si="23"/>
        <v>0</v>
      </c>
      <c r="AN10" s="238">
        <f t="shared" si="24"/>
        <v>0</v>
      </c>
      <c r="AO10" s="106">
        <f t="shared" si="25"/>
        <v>-225778.95675297827</v>
      </c>
      <c r="AP10" s="106">
        <f t="shared" si="26"/>
        <v>-913743.63003009558</v>
      </c>
      <c r="AQ10" s="106">
        <f t="shared" si="27"/>
        <v>-301544.68739144504</v>
      </c>
      <c r="AR10" s="106">
        <f t="shared" si="28"/>
        <v>-34460.451804502634</v>
      </c>
      <c r="AS10" s="106">
        <f t="shared" si="29"/>
        <v>-137841.80721801054</v>
      </c>
      <c r="AT10" s="106">
        <f t="shared" si="30"/>
        <v>-84260.890781415859</v>
      </c>
      <c r="AU10" s="239">
        <f t="shared" si="31"/>
        <v>0</v>
      </c>
      <c r="AV10" s="239">
        <f t="shared" si="32"/>
        <v>0</v>
      </c>
      <c r="AW10" s="239">
        <f t="shared" si="33"/>
        <v>0</v>
      </c>
      <c r="AX10" s="240">
        <f t="shared" si="34"/>
        <v>16.655607660782994</v>
      </c>
      <c r="AY10" s="240">
        <f t="shared" si="35"/>
        <v>16.464982570402409</v>
      </c>
      <c r="AZ10" s="240">
        <f t="shared" si="36"/>
        <v>14.703005302737017</v>
      </c>
      <c r="BA10" s="240">
        <f t="shared" si="37"/>
        <v>16.594045221282986</v>
      </c>
      <c r="BB10" s="240">
        <f t="shared" si="38"/>
        <v>16.402287333821974</v>
      </c>
      <c r="BC10" s="240">
        <f t="shared" si="39"/>
        <v>14.631318067862876</v>
      </c>
      <c r="BD10" s="227">
        <f t="shared" si="40"/>
        <v>-6.1562439500008281E-2</v>
      </c>
      <c r="BE10" s="227">
        <f t="shared" si="41"/>
        <v>-6.2695236580434965E-2</v>
      </c>
      <c r="BF10" s="227">
        <f t="shared" si="42"/>
        <v>-7.1687234874140415E-2</v>
      </c>
      <c r="BG10" s="240">
        <f t="shared" si="43"/>
        <v>48.251758354602408</v>
      </c>
      <c r="BH10" s="240">
        <f t="shared" si="44"/>
        <v>47.388844803932734</v>
      </c>
      <c r="BI10" s="240">
        <f t="shared" si="45"/>
        <v>51.86796857316655</v>
      </c>
      <c r="BJ10" s="240">
        <f t="shared" si="46"/>
        <v>49.418641007829777</v>
      </c>
      <c r="BK10" s="240">
        <f t="shared" si="47"/>
        <v>48.529423163844186</v>
      </c>
      <c r="BL10" s="240">
        <f t="shared" si="48"/>
        <v>55.539844551302629</v>
      </c>
      <c r="BM10" s="228">
        <f t="shared" si="49"/>
        <v>1.1668826532273684</v>
      </c>
      <c r="BN10" s="228">
        <f t="shared" si="50"/>
        <v>1.1405783599114514</v>
      </c>
      <c r="BO10" s="228">
        <f t="shared" si="51"/>
        <v>3.6718759781360788</v>
      </c>
    </row>
    <row r="11" spans="1:67" x14ac:dyDescent="0.25">
      <c r="A11" s="203">
        <v>2026</v>
      </c>
      <c r="B11" s="219">
        <f>'Network Model Data'!B11</f>
        <v>3669131.6843822189</v>
      </c>
      <c r="C11" s="219">
        <f>'Network Model Data'!C11</f>
        <v>14580270.006658338</v>
      </c>
      <c r="D11" s="219">
        <f>'Network Model Data'!D11</f>
        <v>4287166.039903638</v>
      </c>
      <c r="E11" s="219">
        <f>'Network Model Data'!E11</f>
        <v>3669131.6843822189</v>
      </c>
      <c r="F11" s="219">
        <f>'Network Model Data'!F11</f>
        <v>14580270.006658338</v>
      </c>
      <c r="G11" s="219">
        <f>'Network Model Data'!G11</f>
        <v>4287166.039903638</v>
      </c>
      <c r="H11" s="219">
        <f>'Network Model Data'!H11</f>
        <v>61093398.722022697</v>
      </c>
      <c r="I11" s="219">
        <f>'Network Model Data'!I11</f>
        <v>240021168.70728686</v>
      </c>
      <c r="J11" s="219">
        <f>'Network Model Data'!J11</f>
        <v>62976287.781124569</v>
      </c>
      <c r="K11" s="219">
        <f>'Network Model Data'!K11</f>
        <v>60862518.393203303</v>
      </c>
      <c r="L11" s="219">
        <f>'Network Model Data'!L11</f>
        <v>239070994.21939492</v>
      </c>
      <c r="M11" s="219">
        <f>'Network Model Data'!M11</f>
        <v>62675800.243465327</v>
      </c>
      <c r="N11" s="219">
        <f>'Network Model Data'!N11</f>
        <v>1266276.6229186617</v>
      </c>
      <c r="O11" s="219">
        <f>'Network Model Data'!O11</f>
        <v>5065106.4916746467</v>
      </c>
      <c r="P11" s="219">
        <f>'Network Model Data'!P11</f>
        <v>1218173.1647782729</v>
      </c>
      <c r="Q11" s="219">
        <f>'Network Model Data'!Q11</f>
        <v>1232103.3280309623</v>
      </c>
      <c r="R11" s="219">
        <f>'Network Model Data'!R11</f>
        <v>4928413.3121238491</v>
      </c>
      <c r="S11" s="219">
        <f>'Network Model Data'!S11</f>
        <v>1131157.6531507394</v>
      </c>
      <c r="T11" s="246">
        <f>'Network Model Data'!T11</f>
        <v>0.08</v>
      </c>
      <c r="U11" s="246">
        <f>'Network Model Data'!U11</f>
        <v>0.08</v>
      </c>
      <c r="V11" s="246">
        <f>'Network Model Data'!V11</f>
        <v>0.08</v>
      </c>
      <c r="W11" s="246">
        <f>'Network Model Data'!W11</f>
        <v>0.08</v>
      </c>
      <c r="X11" s="246">
        <f>'Network Model Data'!X11</f>
        <v>0.08</v>
      </c>
      <c r="Y11" s="246">
        <f>'Network Model Data'!Y11</f>
        <v>0.08</v>
      </c>
      <c r="Z11" s="220">
        <f>IFERROR((-1.5*T11^4+2.05*T11^3+0.16*T11^2+0.04*T11+0.025)*N11,0)*'Fixed Factors'!$I$13</f>
        <v>53177.1631908708</v>
      </c>
      <c r="AA11" s="220">
        <f>IFERROR((-1.5*U11^4+2.05*U11^3+0.16*U11^2+0.04*U11+0.025)*O11,0)*'Fixed Factors'!$I$14</f>
        <v>212708.6527634832</v>
      </c>
      <c r="AB11" s="102">
        <f>IFERROR((-1.5*V11^4+2.05*V11^3+0.16*V11^2+0.04*V11+0.025)*P11,0)*'Fixed Factors'!$I$15</f>
        <v>36803.642561987544</v>
      </c>
      <c r="AC11" s="103">
        <f>IFERROR((-1.5*(W11)^4+2.05*(W11)^3+0.16*(W11)^2+0.04*W11+0.025)*Q11,0)*'Fixed Factors'!$I$13</f>
        <v>51742.059007375436</v>
      </c>
      <c r="AD11" s="103">
        <f>IFERROR((-1.5*(X11)^4+2.05*(X11)^3+0.16*(X11)^2+0.04*X11+0.025)*R11,0)*'Fixed Factors'!$I$14</f>
        <v>206968.23602950174</v>
      </c>
      <c r="AE11" s="103">
        <f>IFERROR((-1.5*(Y11)^4+2.05*(Y11)^3+0.16*(Y11)^2+0.04*Y11+0.025)*S11,0)*'Fixed Factors'!$I$15</f>
        <v>34174.716002214642</v>
      </c>
      <c r="AF11" s="224">
        <f>H11/$AF$1*'Network Crash Rates'!$D$4+'Network TDC'!I11/$AF$1*'Network Crash Rates'!$D$5+'Network TDC'!J11/$AF$1*'Network Crash Rates'!$D$6</f>
        <v>2.8311704901163357</v>
      </c>
      <c r="AG11" s="224">
        <f>H11/'Network TDC'!$AF$1*'Network Crash Rates'!$E$4+I11/'Network TDC'!$AF$1*'Network Crash Rates'!$E$5+J11/'Network TDC'!$AF$1*'Network Crash Rates'!$E$6</f>
        <v>127.40740523635284</v>
      </c>
      <c r="AH11" s="224">
        <f>H11/$AF$1*'Network Crash Rates'!$F$4+I11/$AF$1*'Network Crash Rates'!$F$5+J11/$AF$1*'Network Crash Rates'!$F$6</f>
        <v>461.4979021591576</v>
      </c>
      <c r="AI11" s="224">
        <f>K11/$AF$1*'Network Crash Rates'!$D$7+L11/$AF$1*'Network Crash Rates'!$D$8+M11/$AF$1*'Network Crash Rates'!$D$9</f>
        <v>2.8196500167687502</v>
      </c>
      <c r="AJ11" s="225">
        <f>K11/$AF$1*'Network Crash Rates'!$E$7+L11/$AF$1*'Network Crash Rates'!$E$8+M11/$AF$1*'Network Crash Rates'!$E$9</f>
        <v>126.88896467566087</v>
      </c>
      <c r="AK11" s="225">
        <f>K11/$AF$1*'Network Crash Rates'!$F$7+L11/$AF$1*'Network Crash Rates'!$F$8+M11/$AF$1*'Network Crash Rates'!$F$9</f>
        <v>459.61999537101053</v>
      </c>
      <c r="AL11" s="238">
        <f t="shared" si="22"/>
        <v>0</v>
      </c>
      <c r="AM11" s="238">
        <f t="shared" si="23"/>
        <v>0</v>
      </c>
      <c r="AN11" s="238">
        <f t="shared" si="24"/>
        <v>0</v>
      </c>
      <c r="AO11" s="106">
        <f t="shared" si="25"/>
        <v>-230880.32881939411</v>
      </c>
      <c r="AP11" s="106">
        <f t="shared" si="26"/>
        <v>-950174.48789194226</v>
      </c>
      <c r="AQ11" s="106">
        <f t="shared" si="27"/>
        <v>-300487.53765924275</v>
      </c>
      <c r="AR11" s="106">
        <f t="shared" si="28"/>
        <v>-34173.29488769942</v>
      </c>
      <c r="AS11" s="106">
        <f t="shared" si="29"/>
        <v>-136693.17955079768</v>
      </c>
      <c r="AT11" s="106">
        <f t="shared" si="30"/>
        <v>-87015.511627533473</v>
      </c>
      <c r="AU11" s="239">
        <f t="shared" si="31"/>
        <v>0</v>
      </c>
      <c r="AV11" s="239">
        <f t="shared" si="32"/>
        <v>0</v>
      </c>
      <c r="AW11" s="239">
        <f t="shared" si="33"/>
        <v>0</v>
      </c>
      <c r="AX11" s="240">
        <f t="shared" si="34"/>
        <v>16.650642162032174</v>
      </c>
      <c r="AY11" s="240">
        <f t="shared" si="35"/>
        <v>16.462052389816989</v>
      </c>
      <c r="AZ11" s="240">
        <f t="shared" si="36"/>
        <v>14.689491191841052</v>
      </c>
      <c r="BA11" s="240">
        <f t="shared" si="37"/>
        <v>16.587717102732135</v>
      </c>
      <c r="BB11" s="240">
        <f t="shared" si="38"/>
        <v>16.396883878708621</v>
      </c>
      <c r="BC11" s="240">
        <f t="shared" si="39"/>
        <v>14.619401175531349</v>
      </c>
      <c r="BD11" s="227">
        <f t="shared" si="40"/>
        <v>-6.2925059300038555E-2</v>
      </c>
      <c r="BE11" s="227">
        <f t="shared" si="41"/>
        <v>-6.5168511108367966E-2</v>
      </c>
      <c r="BF11" s="227">
        <f t="shared" si="42"/>
        <v>-7.0090016309702463E-2</v>
      </c>
      <c r="BG11" s="240">
        <f t="shared" si="43"/>
        <v>48.246487075791961</v>
      </c>
      <c r="BH11" s="240">
        <f t="shared" si="44"/>
        <v>47.387190990318167</v>
      </c>
      <c r="BI11" s="240">
        <f t="shared" si="45"/>
        <v>51.697319890138338</v>
      </c>
      <c r="BJ11" s="240">
        <f t="shared" si="46"/>
        <v>49.397251844509142</v>
      </c>
      <c r="BK11" s="240">
        <f t="shared" si="47"/>
        <v>48.508714484493943</v>
      </c>
      <c r="BL11" s="240">
        <f t="shared" si="48"/>
        <v>55.408545456848955</v>
      </c>
      <c r="BM11" s="228">
        <f t="shared" si="49"/>
        <v>1.1507647687171811</v>
      </c>
      <c r="BN11" s="228">
        <f t="shared" si="50"/>
        <v>1.1215234941757757</v>
      </c>
      <c r="BO11" s="228">
        <f t="shared" si="51"/>
        <v>3.7112255667106169</v>
      </c>
    </row>
    <row r="12" spans="1:67" x14ac:dyDescent="0.25">
      <c r="A12" s="203">
        <v>2027</v>
      </c>
      <c r="B12" s="219">
        <f>'Network Model Data'!B12</f>
        <v>3670785.069653709</v>
      </c>
      <c r="C12" s="219">
        <f>'Network Model Data'!C12</f>
        <v>14586171.525878137</v>
      </c>
      <c r="D12" s="219">
        <f>'Network Model Data'!D12</f>
        <v>4369490.0556931132</v>
      </c>
      <c r="E12" s="219">
        <f>'Network Model Data'!E12</f>
        <v>3670785.069653709</v>
      </c>
      <c r="F12" s="219">
        <f>'Network Model Data'!F12</f>
        <v>14586171.525878137</v>
      </c>
      <c r="G12" s="219">
        <f>'Network Model Data'!G12</f>
        <v>4369490.0556931132</v>
      </c>
      <c r="H12" s="219">
        <f>'Network Model Data'!H12</f>
        <v>61102706.803913839</v>
      </c>
      <c r="I12" s="219">
        <f>'Network Model Data'!I12</f>
        <v>240075587.31546074</v>
      </c>
      <c r="J12" s="219">
        <f>'Network Model Data'!J12</f>
        <v>64126590.187740378</v>
      </c>
      <c r="K12" s="219">
        <f>'Network Model Data'!K12</f>
        <v>60866723.975665666</v>
      </c>
      <c r="L12" s="219">
        <f>'Network Model Data'!L12</f>
        <v>239088970.98613614</v>
      </c>
      <c r="M12" s="219">
        <f>'Network Model Data'!M12</f>
        <v>63827299.724629447</v>
      </c>
      <c r="N12" s="219">
        <f>'Network Model Data'!N12</f>
        <v>1266607.9215678684</v>
      </c>
      <c r="O12" s="219">
        <f>'Network Model Data'!O12</f>
        <v>5066431.6862714738</v>
      </c>
      <c r="P12" s="219">
        <f>'Network Model Data'!P12</f>
        <v>1244518.4204170601</v>
      </c>
      <c r="Q12" s="219">
        <f>'Network Model Data'!Q12</f>
        <v>1232722.0074445452</v>
      </c>
      <c r="R12" s="219">
        <f>'Network Model Data'!R12</f>
        <v>4930888.0297781806</v>
      </c>
      <c r="S12" s="219">
        <f>'Network Model Data'!S12</f>
        <v>1154669.3353576839</v>
      </c>
      <c r="T12" s="246">
        <f>'Network Model Data'!T12</f>
        <v>0.08</v>
      </c>
      <c r="U12" s="246">
        <f>'Network Model Data'!U12</f>
        <v>0.08</v>
      </c>
      <c r="V12" s="246">
        <f>'Network Model Data'!V12</f>
        <v>0.08</v>
      </c>
      <c r="W12" s="246">
        <f>'Network Model Data'!W12</f>
        <v>0.08</v>
      </c>
      <c r="X12" s="246">
        <f>'Network Model Data'!X12</f>
        <v>0.08</v>
      </c>
      <c r="Y12" s="246">
        <f>'Network Model Data'!Y12</f>
        <v>0.08</v>
      </c>
      <c r="Z12" s="220">
        <f>IFERROR((-1.5*T12^4+2.05*T12^3+0.16*T12^2+0.04*T12+0.025)*N12,0)*'Fixed Factors'!$I$13</f>
        <v>53191.076045309484</v>
      </c>
      <c r="AA12" s="220">
        <f>IFERROR((-1.5*U12^4+2.05*U12^3+0.16*U12^2+0.04*U12+0.025)*O12,0)*'Fixed Factors'!$I$14</f>
        <v>212764.30418123794</v>
      </c>
      <c r="AB12" s="102">
        <f>IFERROR((-1.5*V12^4+2.05*V12^3+0.16*V12^2+0.04*V12+0.025)*P12,0)*'Fixed Factors'!$I$15</f>
        <v>37599.589640587488</v>
      </c>
      <c r="AC12" s="103">
        <f>IFERROR((-1.5*(W12)^4+2.05*(W12)^3+0.16*(W12)^2+0.04*W12+0.025)*Q12,0)*'Fixed Factors'!$I$13</f>
        <v>51768.040388965746</v>
      </c>
      <c r="AD12" s="103">
        <f>IFERROR((-1.5*(X12)^4+2.05*(X12)^3+0.16*(X12)^2+0.04*X12+0.025)*R12,0)*'Fixed Factors'!$I$14</f>
        <v>207072.16155586299</v>
      </c>
      <c r="AE12" s="103">
        <f>IFERROR((-1.5*(Y12)^4+2.05*(Y12)^3+0.16*(Y12)^2+0.04*Y12+0.025)*S12,0)*'Fixed Factors'!$I$15</f>
        <v>34885.054706920004</v>
      </c>
      <c r="AF12" s="224">
        <f>H12/$AF$1*'Network Crash Rates'!$D$4+'Network TDC'!I12/$AF$1*'Network Crash Rates'!$D$5+'Network TDC'!J12/$AF$1*'Network Crash Rates'!$D$6</f>
        <v>2.8406107803721259</v>
      </c>
      <c r="AG12" s="224">
        <f>H12/'Network TDC'!$AF$1*'Network Crash Rates'!$E$4+I12/'Network TDC'!$AF$1*'Network Crash Rates'!$E$5+J12/'Network TDC'!$AF$1*'Network Crash Rates'!$E$6</f>
        <v>127.83223408024165</v>
      </c>
      <c r="AH12" s="224">
        <f>H12/$AF$1*'Network Crash Rates'!$F$4+I12/$AF$1*'Network Crash Rates'!$F$5+J12/$AF$1*'Network Crash Rates'!$F$6</f>
        <v>463.03672653021897</v>
      </c>
      <c r="AI12" s="224">
        <f>K12/$AF$1*'Network Crash Rates'!$D$7+L12/$AF$1*'Network Crash Rates'!$D$8+M12/$AF$1*'Network Crash Rates'!$D$9</f>
        <v>2.8287765666816891</v>
      </c>
      <c r="AJ12" s="225">
        <f>K12/$AF$1*'Network Crash Rates'!$E$7+L12/$AF$1*'Network Crash Rates'!$E$8+M12/$AF$1*'Network Crash Rates'!$E$9</f>
        <v>127.29967467960692</v>
      </c>
      <c r="AK12" s="225">
        <f>K12/$AF$1*'Network Crash Rates'!$F$7+L12/$AF$1*'Network Crash Rates'!$F$8+M12/$AF$1*'Network Crash Rates'!$F$9</f>
        <v>461.10767816986561</v>
      </c>
      <c r="AL12" s="238">
        <f t="shared" si="22"/>
        <v>0</v>
      </c>
      <c r="AM12" s="238">
        <f t="shared" si="23"/>
        <v>0</v>
      </c>
      <c r="AN12" s="238">
        <f t="shared" si="24"/>
        <v>0</v>
      </c>
      <c r="AO12" s="106">
        <f t="shared" si="25"/>
        <v>-235982.828248173</v>
      </c>
      <c r="AP12" s="106">
        <f t="shared" si="26"/>
        <v>-986616.32932460308</v>
      </c>
      <c r="AQ12" s="106">
        <f t="shared" si="27"/>
        <v>-299290.46311093122</v>
      </c>
      <c r="AR12" s="106">
        <f t="shared" si="28"/>
        <v>-33885.91412332328</v>
      </c>
      <c r="AS12" s="106">
        <f t="shared" si="29"/>
        <v>-135543.65649329312</v>
      </c>
      <c r="AT12" s="106">
        <f t="shared" si="30"/>
        <v>-89849.085059376201</v>
      </c>
      <c r="AU12" s="239">
        <f t="shared" si="31"/>
        <v>0</v>
      </c>
      <c r="AV12" s="239">
        <f t="shared" si="32"/>
        <v>0</v>
      </c>
      <c r="AW12" s="239">
        <f t="shared" si="33"/>
        <v>0</v>
      </c>
      <c r="AX12" s="240">
        <f t="shared" si="34"/>
        <v>16.645678143634296</v>
      </c>
      <c r="AY12" s="240">
        <f t="shared" si="35"/>
        <v>16.45912273069937</v>
      </c>
      <c r="AZ12" s="240">
        <f t="shared" si="36"/>
        <v>14.675989502296339</v>
      </c>
      <c r="BA12" s="240">
        <f t="shared" si="37"/>
        <v>16.581391397401443</v>
      </c>
      <c r="BB12" s="240">
        <f t="shared" si="38"/>
        <v>16.391482203671821</v>
      </c>
      <c r="BC12" s="240">
        <f t="shared" si="39"/>
        <v>14.607493989251063</v>
      </c>
      <c r="BD12" s="227">
        <f t="shared" si="40"/>
        <v>-6.4286746232852465E-2</v>
      </c>
      <c r="BE12" s="227">
        <f t="shared" si="41"/>
        <v>-6.7640527027549524E-2</v>
      </c>
      <c r="BF12" s="227">
        <f t="shared" si="42"/>
        <v>-6.8495513045276013E-2</v>
      </c>
      <c r="BG12" s="240">
        <f t="shared" si="43"/>
        <v>48.241216372844058</v>
      </c>
      <c r="BH12" s="240">
        <f t="shared" si="44"/>
        <v>47.385537234419708</v>
      </c>
      <c r="BI12" s="240">
        <f t="shared" si="45"/>
        <v>51.527232651365999</v>
      </c>
      <c r="BJ12" s="240">
        <f t="shared" si="46"/>
        <v>49.375871938754038</v>
      </c>
      <c r="BK12" s="240">
        <f t="shared" si="47"/>
        <v>48.488014642038365</v>
      </c>
      <c r="BL12" s="240">
        <f t="shared" si="48"/>
        <v>55.277556760314894</v>
      </c>
      <c r="BM12" s="228">
        <f t="shared" si="49"/>
        <v>1.1346555659099806</v>
      </c>
      <c r="BN12" s="228">
        <f t="shared" si="50"/>
        <v>1.1024774076186574</v>
      </c>
      <c r="BO12" s="228">
        <f t="shared" si="51"/>
        <v>3.7503241089488952</v>
      </c>
    </row>
    <row r="13" spans="1:67" x14ac:dyDescent="0.25">
      <c r="A13" s="203">
        <v>2028</v>
      </c>
      <c r="B13" s="219">
        <f>'Network Model Data'!B13</f>
        <v>3672439.199974189</v>
      </c>
      <c r="C13" s="219">
        <f>'Network Model Data'!C13</f>
        <v>14592075.433800548</v>
      </c>
      <c r="D13" s="219">
        <f>'Network Model Data'!D13</f>
        <v>4453394.8928253194</v>
      </c>
      <c r="E13" s="219">
        <f>'Network Model Data'!E13</f>
        <v>3672439.199974189</v>
      </c>
      <c r="F13" s="219">
        <f>'Network Model Data'!F13</f>
        <v>14592075.433800548</v>
      </c>
      <c r="G13" s="219">
        <f>'Network Model Data'!G13</f>
        <v>4453394.8928253194</v>
      </c>
      <c r="H13" s="219">
        <f>'Network Model Data'!H13</f>
        <v>61112016.303967834</v>
      </c>
      <c r="I13" s="219">
        <f>'Network Model Data'!I13</f>
        <v>240130018.26165017</v>
      </c>
      <c r="J13" s="219">
        <f>'Network Model Data'!J13</f>
        <v>65297903.607759595</v>
      </c>
      <c r="K13" s="219">
        <f>'Network Model Data'!K13</f>
        <v>60870929.848732568</v>
      </c>
      <c r="L13" s="219">
        <f>'Network Model Data'!L13</f>
        <v>239106949.10462704</v>
      </c>
      <c r="M13" s="219">
        <f>'Network Model Data'!M13</f>
        <v>64999954.915811956</v>
      </c>
      <c r="N13" s="219">
        <f>'Network Model Data'!N13</f>
        <v>1266939.3068954463</v>
      </c>
      <c r="O13" s="219">
        <f>'Network Model Data'!O13</f>
        <v>5067757.2275817851</v>
      </c>
      <c r="P13" s="219">
        <f>'Network Model Data'!P13</f>
        <v>1271433.4411062864</v>
      </c>
      <c r="Q13" s="219">
        <f>'Network Model Data'!Q13</f>
        <v>1233340.997517314</v>
      </c>
      <c r="R13" s="219">
        <f>'Network Model Data'!R13</f>
        <v>4933363.9900692562</v>
      </c>
      <c r="S13" s="219">
        <f>'Network Model Data'!S13</f>
        <v>1178669.7197350648</v>
      </c>
      <c r="T13" s="246">
        <f>'Network Model Data'!T13</f>
        <v>0.08</v>
      </c>
      <c r="U13" s="246">
        <f>'Network Model Data'!U13</f>
        <v>0.08</v>
      </c>
      <c r="V13" s="246">
        <f>'Network Model Data'!V13</f>
        <v>0.08</v>
      </c>
      <c r="W13" s="246">
        <f>'Network Model Data'!W13</f>
        <v>0.08</v>
      </c>
      <c r="X13" s="246">
        <f>'Network Model Data'!X13</f>
        <v>0.08</v>
      </c>
      <c r="Y13" s="246">
        <f>'Network Model Data'!Y13</f>
        <v>0.08</v>
      </c>
      <c r="Z13" s="220">
        <f>IFERROR((-1.5*T13^4+2.05*T13^3+0.16*T13^2+0.04*T13+0.025)*N13,0)*'Fixed Factors'!$I$13</f>
        <v>53204.99253979791</v>
      </c>
      <c r="AA13" s="220">
        <f>IFERROR((-1.5*U13^4+2.05*U13^3+0.16*U13^2+0.04*U13+0.025)*O13,0)*'Fixed Factors'!$I$14</f>
        <v>212819.97015919164</v>
      </c>
      <c r="AB13" s="102">
        <f>IFERROR((-1.5*V13^4+2.05*V13^3+0.16*V13^2+0.04*V13+0.025)*P13,0)*'Fixed Factors'!$I$15</f>
        <v>38412.750552053702</v>
      </c>
      <c r="AC13" s="103">
        <f>IFERROR((-1.5*(W13)^4+2.05*(W13)^3+0.16*(W13)^2+0.04*W13+0.025)*Q13,0)*'Fixed Factors'!$I$13</f>
        <v>51794.034816658248</v>
      </c>
      <c r="AD13" s="103">
        <f>IFERROR((-1.5*(X13)^4+2.05*(X13)^3+0.16*(X13)^2+0.04*X13+0.025)*R13,0)*'Fixed Factors'!$I$14</f>
        <v>207176.13926663299</v>
      </c>
      <c r="AE13" s="103">
        <f>IFERROR((-1.5*(Y13)^4+2.05*(Y13)^3+0.16*(Y13)^2+0.04*Y13+0.025)*S13,0)*'Fixed Factors'!$I$15</f>
        <v>35610.158159790939</v>
      </c>
      <c r="AF13" s="224">
        <f>H13/$AF$1*'Network Crash Rates'!$D$4+'Network TDC'!I13/$AF$1*'Network Crash Rates'!$D$5+'Network TDC'!J13/$AF$1*'Network Crash Rates'!$D$6</f>
        <v>2.8502145592361843</v>
      </c>
      <c r="AG13" s="224">
        <f>H13/'Network TDC'!$AF$1*'Network Crash Rates'!$E$4+I13/'Network TDC'!$AF$1*'Network Crash Rates'!$E$5+J13/'Network TDC'!$AF$1*'Network Crash Rates'!$E$6</f>
        <v>128.26442018482453</v>
      </c>
      <c r="AH13" s="224">
        <f>H13/$AF$1*'Network Crash Rates'!$F$4+I13/$AF$1*'Network Crash Rates'!$F$5+J13/$AF$1*'Network Crash Rates'!$F$6</f>
        <v>464.60220053259218</v>
      </c>
      <c r="AI13" s="224">
        <f>K13/$AF$1*'Network Crash Rates'!$D$7+L13/$AF$1*'Network Crash Rates'!$D$8+M13/$AF$1*'Network Crash Rates'!$D$9</f>
        <v>2.8380676361666781</v>
      </c>
      <c r="AJ13" s="225">
        <f>K13/$AF$1*'Network Crash Rates'!$E$7+L13/$AF$1*'Network Crash Rates'!$E$8+M13/$AF$1*'Network Crash Rates'!$E$9</f>
        <v>127.71778833934081</v>
      </c>
      <c r="AK13" s="225">
        <f>K13/$AF$1*'Network Crash Rates'!$F$7+L13/$AF$1*'Network Crash Rates'!$F$8+M13/$AF$1*'Network Crash Rates'!$F$9</f>
        <v>462.62217865336038</v>
      </c>
      <c r="AL13" s="238">
        <f t="shared" si="22"/>
        <v>0</v>
      </c>
      <c r="AM13" s="238">
        <f t="shared" si="23"/>
        <v>0</v>
      </c>
      <c r="AN13" s="238">
        <f t="shared" si="24"/>
        <v>0</v>
      </c>
      <c r="AO13" s="106">
        <f t="shared" si="25"/>
        <v>-241086.4552352652</v>
      </c>
      <c r="AP13" s="106">
        <f t="shared" si="26"/>
        <v>-1023069.1570231318</v>
      </c>
      <c r="AQ13" s="106">
        <f t="shared" si="27"/>
        <v>-297948.69194763899</v>
      </c>
      <c r="AR13" s="106">
        <f t="shared" si="28"/>
        <v>-33598.309378132224</v>
      </c>
      <c r="AS13" s="106">
        <f t="shared" si="29"/>
        <v>-134393.2375125289</v>
      </c>
      <c r="AT13" s="106">
        <f t="shared" si="30"/>
        <v>-92763.721371221589</v>
      </c>
      <c r="AU13" s="239">
        <f t="shared" si="31"/>
        <v>0</v>
      </c>
      <c r="AV13" s="239">
        <f t="shared" si="32"/>
        <v>0</v>
      </c>
      <c r="AW13" s="239">
        <f t="shared" si="33"/>
        <v>0</v>
      </c>
      <c r="AX13" s="240">
        <f t="shared" si="34"/>
        <v>16.640715605148031</v>
      </c>
      <c r="AY13" s="240">
        <f t="shared" si="35"/>
        <v>16.456193592956751</v>
      </c>
      <c r="AZ13" s="240">
        <f t="shared" si="36"/>
        <v>14.662500222685923</v>
      </c>
      <c r="BA13" s="240">
        <f t="shared" si="37"/>
        <v>16.575068104370629</v>
      </c>
      <c r="BB13" s="240">
        <f t="shared" si="38"/>
        <v>16.386082308125168</v>
      </c>
      <c r="BC13" s="240">
        <f t="shared" si="39"/>
        <v>14.595596501116642</v>
      </c>
      <c r="BD13" s="227">
        <f t="shared" si="40"/>
        <v>-6.5647500777402001E-2</v>
      </c>
      <c r="BE13" s="227">
        <f t="shared" si="41"/>
        <v>-7.0111284831583021E-2</v>
      </c>
      <c r="BF13" s="227">
        <f t="shared" si="42"/>
        <v>-6.6903721569280705E-2</v>
      </c>
      <c r="BG13" s="240">
        <f t="shared" si="43"/>
        <v>48.235946245695793</v>
      </c>
      <c r="BH13" s="240">
        <f t="shared" si="44"/>
        <v>47.383883536235338</v>
      </c>
      <c r="BI13" s="240">
        <f t="shared" si="45"/>
        <v>51.357705009664734</v>
      </c>
      <c r="BJ13" s="240">
        <f t="shared" si="46"/>
        <v>49.35450128655765</v>
      </c>
      <c r="BK13" s="240">
        <f t="shared" si="47"/>
        <v>48.467323632706531</v>
      </c>
      <c r="BL13" s="240">
        <f t="shared" si="48"/>
        <v>55.146877727903544</v>
      </c>
      <c r="BM13" s="228">
        <f t="shared" si="49"/>
        <v>1.1185550408618568</v>
      </c>
      <c r="BN13" s="228">
        <f t="shared" si="50"/>
        <v>1.0834400964711932</v>
      </c>
      <c r="BO13" s="228">
        <f t="shared" si="51"/>
        <v>3.7891727182388095</v>
      </c>
    </row>
    <row r="14" spans="1:67" x14ac:dyDescent="0.25">
      <c r="A14" s="203">
        <v>2029</v>
      </c>
      <c r="B14" s="219">
        <f>'Network Model Data'!B14</f>
        <v>3674094.0756793935</v>
      </c>
      <c r="C14" s="219">
        <f>'Network Model Data'!C14</f>
        <v>14597981.73139243</v>
      </c>
      <c r="D14" s="219">
        <f>'Network Model Data'!D14</f>
        <v>4538910.9069151217</v>
      </c>
      <c r="E14" s="219">
        <f>'Network Model Data'!E14</f>
        <v>3674094.0756793935</v>
      </c>
      <c r="F14" s="219">
        <f>'Network Model Data'!F14</f>
        <v>14597981.73139243</v>
      </c>
      <c r="G14" s="219">
        <f>'Network Model Data'!G14</f>
        <v>4538910.9069151217</v>
      </c>
      <c r="H14" s="219">
        <f>'Network Model Data'!H14</f>
        <v>61121327.222400747</v>
      </c>
      <c r="I14" s="219">
        <f>'Network Model Data'!I14</f>
        <v>240184461.54865253</v>
      </c>
      <c r="J14" s="219">
        <f>'Network Model Data'!J14</f>
        <v>66490611.820857637</v>
      </c>
      <c r="K14" s="219">
        <f>'Network Model Data'!K14</f>
        <v>60875136.012424082</v>
      </c>
      <c r="L14" s="219">
        <f>'Network Model Data'!L14</f>
        <v>239124928.57496929</v>
      </c>
      <c r="M14" s="219">
        <f>'Network Model Data'!M14</f>
        <v>66194154.496359833</v>
      </c>
      <c r="N14" s="219">
        <f>'Network Model Data'!N14</f>
        <v>1267270.7789240731</v>
      </c>
      <c r="O14" s="219">
        <f>'Network Model Data'!O14</f>
        <v>5069083.1156962924</v>
      </c>
      <c r="P14" s="219">
        <f>'Network Model Data'!P14</f>
        <v>1298930.5490726607</v>
      </c>
      <c r="Q14" s="219">
        <f>'Network Model Data'!Q14</f>
        <v>1233960.298405261</v>
      </c>
      <c r="R14" s="219">
        <f>'Network Model Data'!R14</f>
        <v>4935841.193621044</v>
      </c>
      <c r="S14" s="219">
        <f>'Network Model Data'!S14</f>
        <v>1203168.9642039225</v>
      </c>
      <c r="T14" s="246">
        <f>'Network Model Data'!T14</f>
        <v>0.08</v>
      </c>
      <c r="U14" s="246">
        <f>'Network Model Data'!U14</f>
        <v>0.08</v>
      </c>
      <c r="V14" s="246">
        <f>'Network Model Data'!V14</f>
        <v>0.08</v>
      </c>
      <c r="W14" s="246">
        <f>'Network Model Data'!W14</f>
        <v>0.08</v>
      </c>
      <c r="X14" s="246">
        <f>'Network Model Data'!X14</f>
        <v>0.08</v>
      </c>
      <c r="Y14" s="246">
        <f>'Network Model Data'!Y14</f>
        <v>0.08</v>
      </c>
      <c r="Z14" s="220">
        <f>IFERROR((-1.5*T14^4+2.05*T14^3+0.16*T14^2+0.04*T14+0.025)*N14,0)*'Fixed Factors'!$I$13</f>
        <v>53218.912675288426</v>
      </c>
      <c r="AA14" s="220">
        <f>IFERROR((-1.5*U14^4+2.05*U14^3+0.16*U14^2+0.04*U14+0.025)*O14,0)*'Fixed Factors'!$I$14</f>
        <v>212875.6507011537</v>
      </c>
      <c r="AB14" s="102">
        <f>IFERROR((-1.5*V14^4+2.05*V14^3+0.16*V14^2+0.04*V14+0.025)*P14,0)*'Fixed Factors'!$I$15</f>
        <v>39243.497577471084</v>
      </c>
      <c r="AC14" s="103">
        <f>IFERROR((-1.5*(W14)^4+2.05*(W14)^3+0.16*(W14)^2+0.04*W14+0.025)*Q14,0)*'Fixed Factors'!$I$13</f>
        <v>51820.042297003813</v>
      </c>
      <c r="AD14" s="103">
        <f>IFERROR((-1.5*(X14)^4+2.05*(X14)^3+0.16*(X14)^2+0.04*X14+0.025)*R14,0)*'Fixed Factors'!$I$14</f>
        <v>207280.16918801525</v>
      </c>
      <c r="AE14" s="103">
        <f>IFERROR((-1.5*(Y14)^4+2.05*(Y14)^3+0.16*(Y14)^2+0.04*Y14+0.025)*S14,0)*'Fixed Factors'!$I$15</f>
        <v>36350.333253563185</v>
      </c>
      <c r="AF14" s="224">
        <f>H14/$AF$1*'Network Crash Rates'!$D$4+'Network TDC'!I14/$AF$1*'Network Crash Rates'!$D$5+'Network TDC'!J14/$AF$1*'Network Crash Rates'!$D$6</f>
        <v>2.8599848110026991</v>
      </c>
      <c r="AG14" s="224">
        <f>H14/'Network TDC'!$AF$1*'Network Crash Rates'!$E$4+I14/'Network TDC'!$AF$1*'Network Crash Rates'!$E$5+J14/'Network TDC'!$AF$1*'Network Crash Rates'!$E$6</f>
        <v>128.70409784832916</v>
      </c>
      <c r="AH14" s="224">
        <f>H14/$AF$1*'Network Crash Rates'!$F$4+I14/$AF$1*'Network Crash Rates'!$F$5+J14/$AF$1*'Network Crash Rates'!$F$6</f>
        <v>466.19481062426786</v>
      </c>
      <c r="AI14" s="224">
        <f>K14/$AF$1*'Network Crash Rates'!$D$7+L14/$AF$1*'Network Crash Rates'!$D$8+M14/$AF$1*'Network Crash Rates'!$D$9</f>
        <v>2.847526247595265</v>
      </c>
      <c r="AJ14" s="225">
        <f>K14/$AF$1*'Network Crash Rates'!$E$7+L14/$AF$1*'Network Crash Rates'!$E$8+M14/$AF$1*'Network Crash Rates'!$E$9</f>
        <v>128.143441666635</v>
      </c>
      <c r="AK14" s="225">
        <f>K14/$AF$1*'Network Crash Rates'!$F$7+L14/$AF$1*'Network Crash Rates'!$F$8+M14/$AF$1*'Network Crash Rates'!$F$9</f>
        <v>464.16398948632514</v>
      </c>
      <c r="AL14" s="238">
        <f t="shared" si="22"/>
        <v>0</v>
      </c>
      <c r="AM14" s="238">
        <f t="shared" si="23"/>
        <v>0</v>
      </c>
      <c r="AN14" s="238">
        <f t="shared" si="24"/>
        <v>0</v>
      </c>
      <c r="AO14" s="106">
        <f t="shared" si="25"/>
        <v>-246191.20997666568</v>
      </c>
      <c r="AP14" s="106">
        <f t="shared" si="26"/>
        <v>-1059532.973683238</v>
      </c>
      <c r="AQ14" s="106">
        <f t="shared" si="27"/>
        <v>-296457.32449780405</v>
      </c>
      <c r="AR14" s="106">
        <f t="shared" si="28"/>
        <v>-33310.480518812081</v>
      </c>
      <c r="AS14" s="106">
        <f t="shared" si="29"/>
        <v>-133241.92207524832</v>
      </c>
      <c r="AT14" s="106">
        <f t="shared" si="30"/>
        <v>-95761.584868738195</v>
      </c>
      <c r="AU14" s="239">
        <f t="shared" si="31"/>
        <v>0</v>
      </c>
      <c r="AV14" s="239">
        <f t="shared" si="32"/>
        <v>0</v>
      </c>
      <c r="AW14" s="239">
        <f t="shared" si="33"/>
        <v>0</v>
      </c>
      <c r="AX14" s="240">
        <f t="shared" si="34"/>
        <v>16.635754546132173</v>
      </c>
      <c r="AY14" s="240">
        <f t="shared" si="35"/>
        <v>16.453264976496342</v>
      </c>
      <c r="AZ14" s="240">
        <f t="shared" si="36"/>
        <v>14.649023341603348</v>
      </c>
      <c r="BA14" s="240">
        <f t="shared" si="37"/>
        <v>16.568747222719761</v>
      </c>
      <c r="BB14" s="240">
        <f t="shared" si="38"/>
        <v>16.38068419148243</v>
      </c>
      <c r="BC14" s="240">
        <f t="shared" si="39"/>
        <v>14.583708703229163</v>
      </c>
      <c r="BD14" s="227">
        <f t="shared" si="40"/>
        <v>-6.7007323412411779E-2</v>
      </c>
      <c r="BE14" s="227">
        <f t="shared" si="41"/>
        <v>-7.2580785013911964E-2</v>
      </c>
      <c r="BF14" s="227">
        <f t="shared" si="42"/>
        <v>-6.5314638374184497E-2</v>
      </c>
      <c r="BG14" s="240">
        <f t="shared" si="43"/>
        <v>48.230676694284256</v>
      </c>
      <c r="BH14" s="240">
        <f t="shared" si="44"/>
        <v>47.382229895763039</v>
      </c>
      <c r="BI14" s="240">
        <f t="shared" si="45"/>
        <v>51.18873512392711</v>
      </c>
      <c r="BJ14" s="240">
        <f t="shared" si="46"/>
        <v>49.333139883914875</v>
      </c>
      <c r="BK14" s="240">
        <f t="shared" si="47"/>
        <v>48.446641452729125</v>
      </c>
      <c r="BL14" s="240">
        <f t="shared" si="48"/>
        <v>55.016507627552741</v>
      </c>
      <c r="BM14" s="228">
        <f t="shared" si="49"/>
        <v>1.102463189630619</v>
      </c>
      <c r="BN14" s="228">
        <f t="shared" si="50"/>
        <v>1.0644115569660855</v>
      </c>
      <c r="BO14" s="228">
        <f t="shared" si="51"/>
        <v>3.8277725036256314</v>
      </c>
    </row>
    <row r="15" spans="1:67" x14ac:dyDescent="0.25">
      <c r="A15" s="203">
        <v>2030</v>
      </c>
      <c r="B15" s="219">
        <f>'Network Model Data'!B15</f>
        <v>3675749.6971052075</v>
      </c>
      <c r="C15" s="219">
        <f>'Network Model Data'!C15</f>
        <v>14603890.419621024</v>
      </c>
      <c r="D15" s="219">
        <f>'Network Model Data'!D15</f>
        <v>4626069.0364790289</v>
      </c>
      <c r="E15" s="219">
        <f>'Network Model Data'!E15</f>
        <v>3675749.6971052075</v>
      </c>
      <c r="F15" s="219">
        <f>'Network Model Data'!F15</f>
        <v>14603890.419621024</v>
      </c>
      <c r="G15" s="219">
        <f>'Network Model Data'!G15</f>
        <v>4626069.0364790289</v>
      </c>
      <c r="H15" s="219">
        <f>'Network Model Data'!H15</f>
        <v>61130639.559428684</v>
      </c>
      <c r="I15" s="219">
        <f>'Network Model Data'!I15</f>
        <v>240238917.17926574</v>
      </c>
      <c r="J15" s="219">
        <f>'Network Model Data'!J15</f>
        <v>67705105.616692558</v>
      </c>
      <c r="K15" s="219">
        <f>'Network Model Data'!K15</f>
        <v>60879342.466760293</v>
      </c>
      <c r="L15" s="219">
        <f>'Network Model Data'!L15</f>
        <v>239142909.39726451</v>
      </c>
      <c r="M15" s="219">
        <f>'Network Model Data'!M15</f>
        <v>67410294.286559045</v>
      </c>
      <c r="N15" s="219">
        <f>'Network Model Data'!N15</f>
        <v>1267602.3376764324</v>
      </c>
      <c r="O15" s="219">
        <f>'Network Model Data'!O15</f>
        <v>5070409.3507057298</v>
      </c>
      <c r="P15" s="219">
        <f>'Network Model Data'!P15</f>
        <v>1327022.3330339158</v>
      </c>
      <c r="Q15" s="219">
        <f>'Network Model Data'!Q15</f>
        <v>1234579.9102644564</v>
      </c>
      <c r="R15" s="219">
        <f>'Network Model Data'!R15</f>
        <v>4938319.6410578256</v>
      </c>
      <c r="S15" s="219">
        <f>'Network Model Data'!S15</f>
        <v>1228177.4378228085</v>
      </c>
      <c r="T15" s="246">
        <f>'Network Model Data'!T15</f>
        <v>0.08</v>
      </c>
      <c r="U15" s="246">
        <f>'Network Model Data'!U15</f>
        <v>0.08</v>
      </c>
      <c r="V15" s="246">
        <f>'Network Model Data'!V15</f>
        <v>0.08</v>
      </c>
      <c r="W15" s="246">
        <f>'Network Model Data'!W15</f>
        <v>0.08</v>
      </c>
      <c r="X15" s="246">
        <f>'Network Model Data'!X15</f>
        <v>0.08</v>
      </c>
      <c r="Y15" s="246">
        <f>'Network Model Data'!Y15</f>
        <v>0.08</v>
      </c>
      <c r="Z15" s="220">
        <f>IFERROR((-1.5*T15^4+2.05*T15^3+0.16*T15^2+0.04*T15+0.025)*N15,0)*'Fixed Factors'!$I$13</f>
        <v>53232.836452733631</v>
      </c>
      <c r="AA15" s="220">
        <f>IFERROR((-1.5*U15^4+2.05*U15^3+0.16*U15^2+0.04*U15+0.025)*O15,0)*'Fixed Factors'!$I$14</f>
        <v>212931.34581093452</v>
      </c>
      <c r="AB15" s="102">
        <f>IFERROR((-1.5*V15^4+2.05*V15^3+0.16*V15^2+0.04*V15+0.025)*P15,0)*'Fixed Factors'!$I$15</f>
        <v>40092.211049193953</v>
      </c>
      <c r="AC15" s="103">
        <f>IFERROR((-1.5*(W15)^4+2.05*(W15)^3+0.16*(W15)^2+0.04*W15+0.025)*Q15,0)*'Fixed Factors'!$I$13</f>
        <v>51846.062836556601</v>
      </c>
      <c r="AD15" s="103">
        <f>IFERROR((-1.5*(X15)^4+2.05*(X15)^3+0.16*(X15)^2+0.04*X15+0.025)*R15,0)*'Fixed Factors'!$I$14</f>
        <v>207384.2513462264</v>
      </c>
      <c r="AE15" s="103">
        <f>IFERROR((-1.5*(Y15)^4+2.05*(Y15)^3+0.16*(Y15)^2+0.04*Y15+0.025)*S15,0)*'Fixed Factors'!$I$15</f>
        <v>37105.893259892742</v>
      </c>
      <c r="AF15" s="224">
        <f>H15/$AF$1*'Network Crash Rates'!$D$4+'Network TDC'!I15/$AF$1*'Network Crash Rates'!$D$5+'Network TDC'!J15/$AF$1*'Network Crash Rates'!$D$6</f>
        <v>2.8699245744754887</v>
      </c>
      <c r="AG15" s="224">
        <f>H15/'Network TDC'!$AF$1*'Network Crash Rates'!$E$4+I15/'Network TDC'!$AF$1*'Network Crash Rates'!$E$5+J15/'Network TDC'!$AF$1*'Network Crash Rates'!$E$6</f>
        <v>129.15140382200761</v>
      </c>
      <c r="AH15" s="224">
        <f>H15/$AF$1*'Network Crash Rates'!$F$4+I15/$AF$1*'Network Crash Rates'!$F$5+J15/$AF$1*'Network Crash Rates'!$F$6</f>
        <v>467.81505214863546</v>
      </c>
      <c r="AI15" s="224">
        <f>K15/$AF$1*'Network Crash Rates'!$D$7+L15/$AF$1*'Network Crash Rates'!$D$8+M15/$AF$1*'Network Crash Rates'!$D$9</f>
        <v>2.85715547886694</v>
      </c>
      <c r="AJ15" s="225">
        <f>K15/$AF$1*'Network Crash Rates'!$E$7+L15/$AF$1*'Network Crash Rates'!$E$8+M15/$AF$1*'Network Crash Rates'!$E$9</f>
        <v>128.57677317211224</v>
      </c>
      <c r="AK15" s="225">
        <f>K15/$AF$1*'Network Crash Rates'!$F$7+L15/$AF$1*'Network Crash Rates'!$F$8+M15/$AF$1*'Network Crash Rates'!$F$9</f>
        <v>465.73361238498029</v>
      </c>
      <c r="AL15" s="238">
        <f t="shared" si="22"/>
        <v>0</v>
      </c>
      <c r="AM15" s="238">
        <f t="shared" si="23"/>
        <v>0</v>
      </c>
      <c r="AN15" s="238">
        <f t="shared" si="24"/>
        <v>0</v>
      </c>
      <c r="AO15" s="106">
        <f t="shared" si="25"/>
        <v>-251297.09266839176</v>
      </c>
      <c r="AP15" s="106">
        <f t="shared" si="26"/>
        <v>-1096007.7820012271</v>
      </c>
      <c r="AQ15" s="106">
        <f t="shared" si="27"/>
        <v>-294811.33013351262</v>
      </c>
      <c r="AR15" s="106">
        <f t="shared" si="28"/>
        <v>-33022.427411976038</v>
      </c>
      <c r="AS15" s="106">
        <f t="shared" si="29"/>
        <v>-132089.70964790415</v>
      </c>
      <c r="AT15" s="106">
        <f t="shared" si="30"/>
        <v>-98844.89521110733</v>
      </c>
      <c r="AU15" s="239">
        <f t="shared" si="31"/>
        <v>0</v>
      </c>
      <c r="AV15" s="239">
        <f t="shared" si="32"/>
        <v>0</v>
      </c>
      <c r="AW15" s="239">
        <f t="shared" si="33"/>
        <v>0</v>
      </c>
      <c r="AX15" s="240">
        <f t="shared" si="34"/>
        <v>16.63079496614565</v>
      </c>
      <c r="AY15" s="240">
        <f t="shared" si="35"/>
        <v>16.450336881225383</v>
      </c>
      <c r="AZ15" s="240">
        <f t="shared" si="36"/>
        <v>14.635558847652636</v>
      </c>
      <c r="BA15" s="240">
        <f t="shared" si="37"/>
        <v>16.562428751529271</v>
      </c>
      <c r="BB15" s="240">
        <f t="shared" si="38"/>
        <v>16.37528785315758</v>
      </c>
      <c r="BC15" s="240">
        <f t="shared" si="39"/>
        <v>14.571830587696123</v>
      </c>
      <c r="BD15" s="227">
        <f t="shared" si="40"/>
        <v>-6.836621461637904E-2</v>
      </c>
      <c r="BE15" s="227">
        <f t="shared" si="41"/>
        <v>-7.5049028067802226E-2</v>
      </c>
      <c r="BF15" s="227">
        <f t="shared" si="42"/>
        <v>-6.3728259956512545E-2</v>
      </c>
      <c r="BG15" s="240">
        <f t="shared" si="43"/>
        <v>48.225407718546556</v>
      </c>
      <c r="BH15" s="240">
        <f t="shared" si="44"/>
        <v>47.380576313000816</v>
      </c>
      <c r="BI15" s="240">
        <f t="shared" si="45"/>
        <v>51.020321159103027</v>
      </c>
      <c r="BJ15" s="240">
        <f t="shared" si="46"/>
        <v>49.311787726822374</v>
      </c>
      <c r="BK15" s="240">
        <f t="shared" si="47"/>
        <v>48.425968098338465</v>
      </c>
      <c r="BL15" s="240">
        <f t="shared" si="48"/>
        <v>54.886445728930951</v>
      </c>
      <c r="BM15" s="228">
        <f t="shared" si="49"/>
        <v>1.0863800082758175</v>
      </c>
      <c r="BN15" s="228">
        <f t="shared" si="50"/>
        <v>1.0453917853376495</v>
      </c>
      <c r="BO15" s="228">
        <f t="shared" si="51"/>
        <v>3.8661245698279245</v>
      </c>
    </row>
    <row r="16" spans="1:67" x14ac:dyDescent="0.25">
      <c r="A16" s="203">
        <v>2031</v>
      </c>
      <c r="B16" s="219">
        <f>'Network Model Data'!B16</f>
        <v>3677406.0645876681</v>
      </c>
      <c r="C16" s="219">
        <f>'Network Model Data'!C16</f>
        <v>14609801.499453964</v>
      </c>
      <c r="D16" s="219">
        <f>'Network Model Data'!D16</f>
        <v>4714900.8141283188</v>
      </c>
      <c r="E16" s="219">
        <f>'Network Model Data'!E16</f>
        <v>3677406.0645876681</v>
      </c>
      <c r="F16" s="219">
        <f>'Network Model Data'!F16</f>
        <v>14609801.499453964</v>
      </c>
      <c r="G16" s="219">
        <f>'Network Model Data'!G16</f>
        <v>4714900.8141283188</v>
      </c>
      <c r="H16" s="219">
        <f>'Network Model Data'!H16</f>
        <v>61139953.315267771</v>
      </c>
      <c r="I16" s="219">
        <f>'Network Model Data'!I16</f>
        <v>240293385.15628839</v>
      </c>
      <c r="J16" s="219">
        <f>'Network Model Data'!J16</f>
        <v>68941782.9229469</v>
      </c>
      <c r="K16" s="219">
        <f>'Network Model Data'!K16</f>
        <v>60883549.211761288</v>
      </c>
      <c r="L16" s="219">
        <f>'Network Model Data'!L16</f>
        <v>239160891.57161438</v>
      </c>
      <c r="M16" s="219">
        <f>'Network Model Data'!M16</f>
        <v>68648777.378830165</v>
      </c>
      <c r="N16" s="219">
        <f>'Network Model Data'!N16</f>
        <v>1267933.9831752144</v>
      </c>
      <c r="O16" s="219">
        <f>'Network Model Data'!O16</f>
        <v>5071735.9327008575</v>
      </c>
      <c r="P16" s="219">
        <f>'Network Model Data'!P16</f>
        <v>1355721.65396217</v>
      </c>
      <c r="Q16" s="219">
        <f>'Network Model Data'!Q16</f>
        <v>1235199.833251049</v>
      </c>
      <c r="R16" s="219">
        <f>'Network Model Data'!R16</f>
        <v>4940799.3330041962</v>
      </c>
      <c r="S16" s="219">
        <f>'Network Model Data'!S16</f>
        <v>1253705.7251763849</v>
      </c>
      <c r="T16" s="246">
        <f>'Network Model Data'!T16</f>
        <v>0.08</v>
      </c>
      <c r="U16" s="246">
        <f>'Network Model Data'!U16</f>
        <v>0.08</v>
      </c>
      <c r="V16" s="246">
        <f>'Network Model Data'!V16</f>
        <v>0.08</v>
      </c>
      <c r="W16" s="246">
        <f>'Network Model Data'!W16</f>
        <v>0.08</v>
      </c>
      <c r="X16" s="246">
        <f>'Network Model Data'!X16</f>
        <v>0.08</v>
      </c>
      <c r="Y16" s="246">
        <f>'Network Model Data'!Y16</f>
        <v>0.08</v>
      </c>
      <c r="Z16" s="220">
        <f>IFERROR((-1.5*T16^4+2.05*T16^3+0.16*T16^2+0.04*T16+0.025)*N16,0)*'Fixed Factors'!$I$13</f>
        <v>53246.763873086362</v>
      </c>
      <c r="AA16" s="220">
        <f>IFERROR((-1.5*U16^4+2.05*U16^3+0.16*U16^2+0.04*U16+0.025)*O16,0)*'Fixed Factors'!$I$14</f>
        <v>212987.05549234545</v>
      </c>
      <c r="AB16" s="102">
        <f>IFERROR((-1.5*V16^4+2.05*V16^3+0.16*V16^2+0.04*V16+0.025)*P16,0)*'Fixed Factors'!$I$15</f>
        <v>40959.279524969716</v>
      </c>
      <c r="AC16" s="103">
        <f>IFERROR((-1.5*(W16)^4+2.05*(W16)^3+0.16*(W16)^2+0.04*W16+0.025)*Q16,0)*'Fixed Factors'!$I$13</f>
        <v>51872.096441874077</v>
      </c>
      <c r="AD16" s="103">
        <f>IFERROR((-1.5*(X16)^4+2.05*(X16)^3+0.16*(X16)^2+0.04*X16+0.025)*R16,0)*'Fixed Factors'!$I$14</f>
        <v>207488.38576749631</v>
      </c>
      <c r="AE16" s="103">
        <f>IFERROR((-1.5*(Y16)^4+2.05*(Y16)^3+0.16*(Y16)^2+0.04*Y16+0.025)*S16,0)*'Fixed Factors'!$I$15</f>
        <v>37877.157961944969</v>
      </c>
      <c r="AF16" s="224">
        <f>H16/$AF$1*'Network Crash Rates'!$D$4+'Network TDC'!I16/$AF$1*'Network Crash Rates'!$D$5+'Network TDC'!J16/$AF$1*'Network Crash Rates'!$D$6</f>
        <v>2.8800369439636553</v>
      </c>
      <c r="AG16" s="224">
        <f>H16/'Network TDC'!$AF$1*'Network Crash Rates'!$E$4+I16/'Network TDC'!$AF$1*'Network Crash Rates'!$E$5+J16/'Network TDC'!$AF$1*'Network Crash Rates'!$E$6</f>
        <v>129.60647735494263</v>
      </c>
      <c r="AH16" s="224">
        <f>H16/$AF$1*'Network Crash Rates'!$F$4+I16/$AF$1*'Network Crash Rates'!$F$5+J16/$AF$1*'Network Crash Rates'!$F$6</f>
        <v>469.46342949678143</v>
      </c>
      <c r="AI16" s="224">
        <f>K16/$AF$1*'Network Crash Rates'!$D$7+L16/$AF$1*'Network Crash Rates'!$D$8+M16/$AF$1*'Network Crash Rates'!$D$9</f>
        <v>2.8669584644293127</v>
      </c>
      <c r="AJ16" s="225">
        <f>K16/$AF$1*'Network Crash Rates'!$E$7+L16/$AF$1*'Network Crash Rates'!$E$8+M16/$AF$1*'Network Crash Rates'!$E$9</f>
        <v>129.01792391115518</v>
      </c>
      <c r="AK16" s="225">
        <f>K16/$AF$1*'Network Crash Rates'!$F$7+L16/$AF$1*'Network Crash Rates'!$F$8+M16/$AF$1*'Network Crash Rates'!$F$9</f>
        <v>467.33155828323163</v>
      </c>
      <c r="AL16" s="238">
        <f t="shared" si="22"/>
        <v>0</v>
      </c>
      <c r="AM16" s="238">
        <f t="shared" si="23"/>
        <v>0</v>
      </c>
      <c r="AN16" s="238">
        <f t="shared" si="24"/>
        <v>0</v>
      </c>
      <c r="AO16" s="106">
        <f t="shared" si="25"/>
        <v>-256404.10350648314</v>
      </c>
      <c r="AP16" s="106">
        <f t="shared" si="26"/>
        <v>-1132493.5846740007</v>
      </c>
      <c r="AQ16" s="106">
        <f t="shared" si="27"/>
        <v>-293005.54411673546</v>
      </c>
      <c r="AR16" s="106">
        <f t="shared" si="28"/>
        <v>-32734.149924165336</v>
      </c>
      <c r="AS16" s="106">
        <f t="shared" si="29"/>
        <v>-130936.59969666135</v>
      </c>
      <c r="AT16" s="106">
        <f t="shared" si="30"/>
        <v>-102015.9287857851</v>
      </c>
      <c r="AU16" s="239">
        <f t="shared" si="31"/>
        <v>0</v>
      </c>
      <c r="AV16" s="239">
        <f t="shared" si="32"/>
        <v>0</v>
      </c>
      <c r="AW16" s="239">
        <f t="shared" si="33"/>
        <v>0</v>
      </c>
      <c r="AX16" s="240">
        <f t="shared" si="34"/>
        <v>16.625836864747527</v>
      </c>
      <c r="AY16" s="240">
        <f t="shared" si="35"/>
        <v>16.44740930705111</v>
      </c>
      <c r="AZ16" s="240">
        <f t="shared" si="36"/>
        <v>14.622106729448287</v>
      </c>
      <c r="BA16" s="240">
        <f t="shared" si="37"/>
        <v>16.556112689879924</v>
      </c>
      <c r="BB16" s="240">
        <f t="shared" si="38"/>
        <v>16.369893292564786</v>
      </c>
      <c r="BC16" s="240">
        <f t="shared" si="39"/>
        <v>14.559962146631458</v>
      </c>
      <c r="BD16" s="227">
        <f t="shared" si="40"/>
        <v>-6.9724174867602073E-2</v>
      </c>
      <c r="BE16" s="227">
        <f t="shared" si="41"/>
        <v>-7.7516014486324281E-2</v>
      </c>
      <c r="BF16" s="227">
        <f t="shared" si="42"/>
        <v>-6.2144582816829441E-2</v>
      </c>
      <c r="BG16" s="240">
        <f t="shared" si="43"/>
        <v>48.22013931841979</v>
      </c>
      <c r="BH16" s="240">
        <f t="shared" si="44"/>
        <v>47.378922787946621</v>
      </c>
      <c r="BI16" s="240">
        <f t="shared" si="45"/>
        <v>50.852461286179803</v>
      </c>
      <c r="BJ16" s="240">
        <f t="shared" si="46"/>
        <v>49.29044481127854</v>
      </c>
      <c r="BK16" s="240">
        <f t="shared" si="47"/>
        <v>48.405303565768449</v>
      </c>
      <c r="BL16" s="240">
        <f t="shared" si="48"/>
        <v>54.756691303433193</v>
      </c>
      <c r="BM16" s="228">
        <f t="shared" si="49"/>
        <v>1.0703054928587505</v>
      </c>
      <c r="BN16" s="228">
        <f t="shared" si="50"/>
        <v>1.0263807778218279</v>
      </c>
      <c r="BO16" s="228">
        <f t="shared" si="51"/>
        <v>3.9042300172533899</v>
      </c>
    </row>
    <row r="17" spans="1:67" x14ac:dyDescent="0.25">
      <c r="A17" s="203">
        <v>2032</v>
      </c>
      <c r="B17" s="219">
        <f>'Network Model Data'!B17</f>
        <v>3679063.1784629645</v>
      </c>
      <c r="C17" s="219">
        <f>'Network Model Data'!C17</f>
        <v>14615714.971859282</v>
      </c>
      <c r="D17" s="219">
        <f>'Network Model Data'!D17</f>
        <v>4805438.3779771011</v>
      </c>
      <c r="E17" s="219">
        <f>'Network Model Data'!E17</f>
        <v>3679063.1784629645</v>
      </c>
      <c r="F17" s="219">
        <f>'Network Model Data'!F17</f>
        <v>14615714.971859282</v>
      </c>
      <c r="G17" s="219">
        <f>'Network Model Data'!G17</f>
        <v>4805438.3779771011</v>
      </c>
      <c r="H17" s="219">
        <f>'Network Model Data'!H17</f>
        <v>61149268.490134187</v>
      </c>
      <c r="I17" s="219">
        <f>'Network Model Data'!I17</f>
        <v>240347865.48251972</v>
      </c>
      <c r="J17" s="219">
        <f>'Network Model Data'!J17</f>
        <v>70201048.935708284</v>
      </c>
      <c r="K17" s="219">
        <f>'Network Model Data'!K17</f>
        <v>60887756.247447148</v>
      </c>
      <c r="L17" s="219">
        <f>'Network Model Data'!L17</f>
        <v>239178875.09812057</v>
      </c>
      <c r="M17" s="219">
        <f>'Network Model Data'!M17</f>
        <v>69910014.271334231</v>
      </c>
      <c r="N17" s="219">
        <f>'Network Model Data'!N17</f>
        <v>1268265.7154431143</v>
      </c>
      <c r="O17" s="219">
        <f>'Network Model Data'!O17</f>
        <v>5073062.8617724571</v>
      </c>
      <c r="P17" s="219">
        <f>'Network Model Data'!P17</f>
        <v>1385041.6509719335</v>
      </c>
      <c r="Q17" s="219">
        <f>'Network Model Data'!Q17</f>
        <v>1235820.0675212664</v>
      </c>
      <c r="R17" s="219">
        <f>'Network Model Data'!R17</f>
        <v>4943280.2700850656</v>
      </c>
      <c r="S17" s="219">
        <f>'Network Model Data'!S17</f>
        <v>1279764.6308552434</v>
      </c>
      <c r="T17" s="246">
        <f>'Network Model Data'!T17</f>
        <v>0.08</v>
      </c>
      <c r="U17" s="246">
        <f>'Network Model Data'!U17</f>
        <v>0.08</v>
      </c>
      <c r="V17" s="246">
        <f>'Network Model Data'!V17</f>
        <v>0.08</v>
      </c>
      <c r="W17" s="246">
        <f>'Network Model Data'!W17</f>
        <v>0.08</v>
      </c>
      <c r="X17" s="246">
        <f>'Network Model Data'!X17</f>
        <v>0.08</v>
      </c>
      <c r="Y17" s="246">
        <f>'Network Model Data'!Y17</f>
        <v>0.08</v>
      </c>
      <c r="Z17" s="220">
        <f>IFERROR((-1.5*T17^4+2.05*T17^3+0.16*T17^2+0.04*T17+0.025)*N17,0)*'Fixed Factors'!$I$13</f>
        <v>53260.694937299755</v>
      </c>
      <c r="AA17" s="220">
        <f>IFERROR((-1.5*U17^4+2.05*U17^3+0.16*U17^2+0.04*U17+0.025)*O17,0)*'Fixed Factors'!$I$14</f>
        <v>213042.77974919902</v>
      </c>
      <c r="AB17" s="102">
        <f>IFERROR((-1.5*V17^4+2.05*V17^3+0.16*V17^2+0.04*V17+0.025)*P17,0)*'Fixed Factors'!$I$15</f>
        <v>41845.099965828216</v>
      </c>
      <c r="AC17" s="103">
        <f>IFERROR((-1.5*(W17)^4+2.05*(W17)^3+0.16*(W17)^2+0.04*W17+0.025)*Q17,0)*'Fixed Factors'!$I$13</f>
        <v>51898.143119516993</v>
      </c>
      <c r="AD17" s="103">
        <f>IFERROR((-1.5*(X17)^4+2.05*(X17)^3+0.16*(X17)^2+0.04*X17+0.025)*R17,0)*'Fixed Factors'!$I$14</f>
        <v>207592.57247806797</v>
      </c>
      <c r="AE17" s="103">
        <f>IFERROR((-1.5*(Y17)^4+2.05*(Y17)^3+0.16*(Y17)^2+0.04*Y17+0.025)*S17,0)*'Fixed Factors'!$I$15</f>
        <v>38664.453789739557</v>
      </c>
      <c r="AF17" s="224">
        <f>H17/$AF$1*'Network Crash Rates'!$D$4+'Network TDC'!I17/$AF$1*'Network Crash Rates'!$D$5+'Network TDC'!J17/$AF$1*'Network Crash Rates'!$D$6</f>
        <v>2.890325070295424</v>
      </c>
      <c r="AG17" s="224">
        <f>H17/'Network TDC'!$AF$1*'Network Crash Rates'!$E$4+I17/'Network TDC'!$AF$1*'Network Crash Rates'!$E$5+J17/'Network TDC'!$AF$1*'Network Crash Rates'!$E$6</f>
        <v>130.06946023967191</v>
      </c>
      <c r="AH17" s="224">
        <f>H17/$AF$1*'Network Crash Rates'!$F$4+I17/$AF$1*'Network Crash Rates'!$F$5+J17/$AF$1*'Network Crash Rates'!$F$6</f>
        <v>471.1404562727509</v>
      </c>
      <c r="AI17" s="224">
        <f>K17/$AF$1*'Network Crash Rates'!$D$7+L17/$AF$1*'Network Crash Rates'!$D$8+M17/$AF$1*'Network Crash Rates'!$D$9</f>
        <v>2.8769383963170294</v>
      </c>
      <c r="AJ17" s="225">
        <f>K17/$AF$1*'Network Crash Rates'!$E$7+L17/$AF$1*'Network Crash Rates'!$E$8+M17/$AF$1*'Network Crash Rates'!$E$9</f>
        <v>129.46703753065933</v>
      </c>
      <c r="AK17" s="225">
        <f>K17/$AF$1*'Network Crash Rates'!$F$7+L17/$AF$1*'Network Crash Rates'!$F$8+M17/$AF$1*'Network Crash Rates'!$F$9</f>
        <v>468.95834750201976</v>
      </c>
      <c r="AL17" s="238">
        <f t="shared" si="22"/>
        <v>0</v>
      </c>
      <c r="AM17" s="238">
        <f t="shared" si="23"/>
        <v>0</v>
      </c>
      <c r="AN17" s="238">
        <f t="shared" si="24"/>
        <v>0</v>
      </c>
      <c r="AO17" s="106">
        <f t="shared" si="25"/>
        <v>-261512.24268703908</v>
      </c>
      <c r="AP17" s="106">
        <f t="shared" si="26"/>
        <v>-1168990.3843991458</v>
      </c>
      <c r="AQ17" s="106">
        <f t="shared" si="27"/>
        <v>-291034.66437405348</v>
      </c>
      <c r="AR17" s="106">
        <f t="shared" si="28"/>
        <v>-32445.647921847878</v>
      </c>
      <c r="AS17" s="106">
        <f t="shared" si="29"/>
        <v>-129782.59168739151</v>
      </c>
      <c r="AT17" s="106">
        <f t="shared" si="30"/>
        <v>-105277.02011669008</v>
      </c>
      <c r="AU17" s="239">
        <f t="shared" si="31"/>
        <v>0</v>
      </c>
      <c r="AV17" s="239">
        <f t="shared" si="32"/>
        <v>0</v>
      </c>
      <c r="AW17" s="239">
        <f t="shared" si="33"/>
        <v>0</v>
      </c>
      <c r="AX17" s="240">
        <f t="shared" si="34"/>
        <v>16.620880241496987</v>
      </c>
      <c r="AY17" s="240">
        <f t="shared" si="35"/>
        <v>16.444482253880789</v>
      </c>
      <c r="AZ17" s="240">
        <f t="shared" si="36"/>
        <v>14.60866697561527</v>
      </c>
      <c r="BA17" s="240">
        <f t="shared" si="37"/>
        <v>16.54979903685285</v>
      </c>
      <c r="BB17" s="240">
        <f t="shared" si="38"/>
        <v>16.364500509118397</v>
      </c>
      <c r="BC17" s="240">
        <f t="shared" si="39"/>
        <v>14.548103372155524</v>
      </c>
      <c r="BD17" s="227">
        <f t="shared" si="40"/>
        <v>-7.1081204644137586E-2</v>
      </c>
      <c r="BE17" s="227">
        <f t="shared" si="41"/>
        <v>-7.9981744762392282E-2</v>
      </c>
      <c r="BF17" s="227">
        <f t="shared" si="42"/>
        <v>-6.0563603459746318E-2</v>
      </c>
      <c r="BG17" s="240">
        <f t="shared" si="43"/>
        <v>48.214871493841088</v>
      </c>
      <c r="BH17" s="240">
        <f t="shared" si="44"/>
        <v>47.377269320598472</v>
      </c>
      <c r="BI17" s="240">
        <f t="shared" si="45"/>
        <v>50.68515368216233</v>
      </c>
      <c r="BJ17" s="240">
        <f t="shared" si="46"/>
        <v>49.269111133283467</v>
      </c>
      <c r="BK17" s="240">
        <f t="shared" si="47"/>
        <v>48.384647851254591</v>
      </c>
      <c r="BL17" s="240">
        <f t="shared" si="48"/>
        <v>54.627243624176927</v>
      </c>
      <c r="BM17" s="228">
        <f t="shared" si="49"/>
        <v>1.054239639442379</v>
      </c>
      <c r="BN17" s="228">
        <f t="shared" si="50"/>
        <v>1.0073785306561192</v>
      </c>
      <c r="BO17" s="228">
        <f t="shared" si="51"/>
        <v>3.9420899420145972</v>
      </c>
    </row>
    <row r="18" spans="1:67" x14ac:dyDescent="0.25">
      <c r="A18" s="203">
        <v>2033</v>
      </c>
      <c r="B18" s="219">
        <f>'Network Model Data'!B18</f>
        <v>3680721.0390674351</v>
      </c>
      <c r="C18" s="219">
        <f>'Network Model Data'!C18</f>
        <v>14621630.837805394</v>
      </c>
      <c r="D18" s="219">
        <f>'Network Model Data'!D18</f>
        <v>4897714.483269453</v>
      </c>
      <c r="E18" s="219">
        <f>'Network Model Data'!E18</f>
        <v>3680721.0390674351</v>
      </c>
      <c r="F18" s="219">
        <f>'Network Model Data'!F18</f>
        <v>14621630.837805394</v>
      </c>
      <c r="G18" s="219">
        <f>'Network Model Data'!G18</f>
        <v>4897714.483269453</v>
      </c>
      <c r="H18" s="219">
        <f>'Network Model Data'!H18</f>
        <v>61158585.084244125</v>
      </c>
      <c r="I18" s="219">
        <f>'Network Model Data'!I18</f>
        <v>240402358.16075957</v>
      </c>
      <c r="J18" s="219">
        <f>'Network Model Data'!J18</f>
        <v>71483316.252231553</v>
      </c>
      <c r="K18" s="219">
        <f>'Network Model Data'!K18</f>
        <v>60891963.573837958</v>
      </c>
      <c r="L18" s="219">
        <f>'Network Model Data'!L18</f>
        <v>239196859.97688475</v>
      </c>
      <c r="M18" s="219">
        <f>'Network Model Data'!M18</f>
        <v>71194423.004033431</v>
      </c>
      <c r="N18" s="219">
        <f>'Network Model Data'!N18</f>
        <v>1268597.5345028338</v>
      </c>
      <c r="O18" s="219">
        <f>'Network Model Data'!O18</f>
        <v>5074390.1380113354</v>
      </c>
      <c r="P18" s="219">
        <f>'Network Model Data'!P18</f>
        <v>1414995.7473354544</v>
      </c>
      <c r="Q18" s="219">
        <f>'Network Model Data'!Q18</f>
        <v>1236440.613231414</v>
      </c>
      <c r="R18" s="219">
        <f>'Network Model Data'!R18</f>
        <v>4945762.452925656</v>
      </c>
      <c r="S18" s="219">
        <f>'Network Model Data'!S18</f>
        <v>1306365.1840288392</v>
      </c>
      <c r="T18" s="246">
        <f>'Network Model Data'!T18</f>
        <v>0.08</v>
      </c>
      <c r="U18" s="246">
        <f>'Network Model Data'!U18</f>
        <v>0.08</v>
      </c>
      <c r="V18" s="246">
        <f>'Network Model Data'!V18</f>
        <v>0.08</v>
      </c>
      <c r="W18" s="246">
        <f>'Network Model Data'!W18</f>
        <v>0.08</v>
      </c>
      <c r="X18" s="246">
        <f>'Network Model Data'!X18</f>
        <v>0.08</v>
      </c>
      <c r="Y18" s="246">
        <f>'Network Model Data'!Y18</f>
        <v>0.08</v>
      </c>
      <c r="Z18" s="220">
        <f>IFERROR((-1.5*T18^4+2.05*T18^3+0.16*T18^2+0.04*T18+0.025)*N18,0)*'Fixed Factors'!$I$13</f>
        <v>53274.629646327143</v>
      </c>
      <c r="AA18" s="220">
        <f>IFERROR((-1.5*U18^4+2.05*U18^3+0.16*U18^2+0.04*U18+0.025)*O18,0)*'Fixed Factors'!$I$14</f>
        <v>213098.51858530857</v>
      </c>
      <c r="AB18" s="102">
        <f>IFERROR((-1.5*V18^4+2.05*V18^3+0.16*V18^2+0.04*V18+0.025)*P18,0)*'Fixed Factors'!$I$15</f>
        <v>42750.077917818329</v>
      </c>
      <c r="AC18" s="103">
        <f>IFERROR((-1.5*(W18)^4+2.05*(W18)^3+0.16*(W18)^2+0.04*W18+0.025)*Q18,0)*'Fixed Factors'!$I$13</f>
        <v>51924.202876049378</v>
      </c>
      <c r="AD18" s="103">
        <f>IFERROR((-1.5*(X18)^4+2.05*(X18)^3+0.16*(X18)^2+0.04*X18+0.025)*R18,0)*'Fixed Factors'!$I$14</f>
        <v>207696.81150419751</v>
      </c>
      <c r="AE18" s="103">
        <f>IFERROR((-1.5*(Y18)^4+2.05*(Y18)^3+0.16*(Y18)^2+0.04*Y18+0.025)*S18,0)*'Fixed Factors'!$I$15</f>
        <v>39468.113958308735</v>
      </c>
      <c r="AF18" s="224">
        <f>H18/$AF$1*'Network Crash Rates'!$D$4+'Network TDC'!I18/$AF$1*'Network Crash Rates'!$D$5+'Network TDC'!J18/$AF$1*'Network Crash Rates'!$D$6</f>
        <v>2.900792161850501</v>
      </c>
      <c r="AG18" s="224">
        <f>H18/'Network TDC'!$AF$1*'Network Crash Rates'!$E$4+I18/'Network TDC'!$AF$1*'Network Crash Rates'!$E$5+J18/'Network TDC'!$AF$1*'Network Crash Rates'!$E$6</f>
        <v>130.54049685864601</v>
      </c>
      <c r="AH18" s="224">
        <f>H18/$AF$1*'Network Crash Rates'!$F$4+I18/$AF$1*'Network Crash Rates'!$F$5+J18/$AF$1*'Network Crash Rates'!$F$6</f>
        <v>472.84665546182816</v>
      </c>
      <c r="AI18" s="224">
        <f>K18/$AF$1*'Network Crash Rates'!$D$7+L18/$AF$1*'Network Crash Rates'!$D$8+M18/$AF$1*'Network Crash Rates'!$D$9</f>
        <v>2.8870985252097832</v>
      </c>
      <c r="AJ18" s="225">
        <f>K18/$AF$1*'Network Crash Rates'!$E$7+L18/$AF$1*'Network Crash Rates'!$E$8+M18/$AF$1*'Network Crash Rates'!$E$9</f>
        <v>129.92426031664547</v>
      </c>
      <c r="AK18" s="225">
        <f>K18/$AF$1*'Network Crash Rates'!$F$7+L18/$AF$1*'Network Crash Rates'!$F$8+M18/$AF$1*'Network Crash Rates'!$F$9</f>
        <v>470.61450992178283</v>
      </c>
      <c r="AL18" s="238">
        <f t="shared" si="22"/>
        <v>0</v>
      </c>
      <c r="AM18" s="238">
        <f t="shared" si="23"/>
        <v>0</v>
      </c>
      <c r="AN18" s="238">
        <f t="shared" si="24"/>
        <v>0</v>
      </c>
      <c r="AO18" s="106">
        <f t="shared" si="25"/>
        <v>-266621.51040616632</v>
      </c>
      <c r="AP18" s="106">
        <f t="shared" si="26"/>
        <v>-1205498.1838748157</v>
      </c>
      <c r="AQ18" s="106">
        <f t="shared" si="27"/>
        <v>-288893.24819812179</v>
      </c>
      <c r="AR18" s="106">
        <f t="shared" si="28"/>
        <v>-32156.921271419851</v>
      </c>
      <c r="AS18" s="106">
        <f t="shared" si="29"/>
        <v>-128627.6850856794</v>
      </c>
      <c r="AT18" s="106">
        <f t="shared" si="30"/>
        <v>-108630.56330661522</v>
      </c>
      <c r="AU18" s="239">
        <f t="shared" si="31"/>
        <v>0</v>
      </c>
      <c r="AV18" s="239">
        <f t="shared" si="32"/>
        <v>0</v>
      </c>
      <c r="AW18" s="239">
        <f t="shared" si="33"/>
        <v>0</v>
      </c>
      <c r="AX18" s="240">
        <f t="shared" si="34"/>
        <v>16.615925095953362</v>
      </c>
      <c r="AY18" s="240">
        <f t="shared" si="35"/>
        <v>16.4415557216217</v>
      </c>
      <c r="AZ18" s="240">
        <f t="shared" si="36"/>
        <v>14.595239574788994</v>
      </c>
      <c r="BA18" s="240">
        <f t="shared" si="37"/>
        <v>16.543487791529518</v>
      </c>
      <c r="BB18" s="240">
        <f t="shared" si="38"/>
        <v>16.359109502232965</v>
      </c>
      <c r="BC18" s="240">
        <f t="shared" si="39"/>
        <v>14.536254256395083</v>
      </c>
      <c r="BD18" s="227">
        <f t="shared" si="40"/>
        <v>-7.2437304423843329E-2</v>
      </c>
      <c r="BE18" s="227">
        <f t="shared" si="41"/>
        <v>-8.2446219388735642E-2</v>
      </c>
      <c r="BF18" s="227">
        <f t="shared" si="42"/>
        <v>-5.8985318393911967E-2</v>
      </c>
      <c r="BG18" s="240">
        <f t="shared" si="43"/>
        <v>48.209604244747574</v>
      </c>
      <c r="BH18" s="240">
        <f t="shared" si="44"/>
        <v>47.37561591095433</v>
      </c>
      <c r="BI18" s="240">
        <f t="shared" si="45"/>
        <v>50.518396530053266</v>
      </c>
      <c r="BJ18" s="240">
        <f t="shared" si="46"/>
        <v>49.247786688839</v>
      </c>
      <c r="BK18" s="240">
        <f t="shared" si="47"/>
        <v>48.364000951034015</v>
      </c>
      <c r="BL18" s="240">
        <f t="shared" si="48"/>
        <v>54.498101965998011</v>
      </c>
      <c r="BM18" s="228">
        <f t="shared" si="49"/>
        <v>1.0381824440914258</v>
      </c>
      <c r="BN18" s="228">
        <f t="shared" si="50"/>
        <v>0.98838504007968453</v>
      </c>
      <c r="BO18" s="228">
        <f t="shared" si="51"/>
        <v>3.9797054359447444</v>
      </c>
    </row>
    <row r="19" spans="1:67" x14ac:dyDescent="0.25">
      <c r="A19" s="203">
        <v>2034</v>
      </c>
      <c r="B19" s="219">
        <f>'Network Model Data'!B19</f>
        <v>3682379.6467375718</v>
      </c>
      <c r="C19" s="219">
        <f>'Network Model Data'!C19</f>
        <v>14627549.098261109</v>
      </c>
      <c r="D19" s="219">
        <f>'Network Model Data'!D19</f>
        <v>4991762.5142298033</v>
      </c>
      <c r="E19" s="219">
        <f>'Network Model Data'!E19</f>
        <v>3682379.6467375718</v>
      </c>
      <c r="F19" s="219">
        <f>'Network Model Data'!F19</f>
        <v>14627549.098261109</v>
      </c>
      <c r="G19" s="219">
        <f>'Network Model Data'!G19</f>
        <v>4991762.5142298033</v>
      </c>
      <c r="H19" s="219">
        <f>'Network Model Data'!H19</f>
        <v>61167903.097813822</v>
      </c>
      <c r="I19" s="219">
        <f>'Network Model Data'!I19</f>
        <v>240456863.19380847</v>
      </c>
      <c r="J19" s="219">
        <f>'Network Model Data'!J19</f>
        <v>72789005.006125778</v>
      </c>
      <c r="K19" s="219">
        <f>'Network Model Data'!K19</f>
        <v>60896171.190953813</v>
      </c>
      <c r="L19" s="219">
        <f>'Network Model Data'!L19</f>
        <v>239214846.20800859</v>
      </c>
      <c r="M19" s="219">
        <f>'Network Model Data'!M19</f>
        <v>72502429.297251374</v>
      </c>
      <c r="N19" s="219">
        <f>'Network Model Data'!N19</f>
        <v>1268929.4403770806</v>
      </c>
      <c r="O19" s="219">
        <f>'Network Model Data'!O19</f>
        <v>5075717.7615083223</v>
      </c>
      <c r="P19" s="219">
        <f>'Network Model Data'!P19</f>
        <v>1445597.6566281572</v>
      </c>
      <c r="Q19" s="219">
        <f>'Network Model Data'!Q19</f>
        <v>1237061.470537876</v>
      </c>
      <c r="R19" s="219">
        <f>'Network Model Data'!R19</f>
        <v>4948245.882151504</v>
      </c>
      <c r="S19" s="219">
        <f>'Network Model Data'!S19</f>
        <v>1333518.6431134762</v>
      </c>
      <c r="T19" s="246">
        <f>'Network Model Data'!T19</f>
        <v>0.08</v>
      </c>
      <c r="U19" s="246">
        <f>'Network Model Data'!U19</f>
        <v>0.08</v>
      </c>
      <c r="V19" s="246">
        <f>'Network Model Data'!V19</f>
        <v>0.08</v>
      </c>
      <c r="W19" s="246">
        <f>'Network Model Data'!W19</f>
        <v>0.08</v>
      </c>
      <c r="X19" s="246">
        <f>'Network Model Data'!X19</f>
        <v>0.08</v>
      </c>
      <c r="Y19" s="246">
        <f>'Network Model Data'!Y19</f>
        <v>0.08</v>
      </c>
      <c r="Z19" s="220">
        <f>IFERROR((-1.5*T19^4+2.05*T19^3+0.16*T19^2+0.04*T19+0.025)*N19,0)*'Fixed Factors'!$I$13</f>
        <v>53288.568001122119</v>
      </c>
      <c r="AA19" s="220">
        <f>IFERROR((-1.5*U19^4+2.05*U19^3+0.16*U19^2+0.04*U19+0.025)*O19,0)*'Fixed Factors'!$I$14</f>
        <v>213154.27200448848</v>
      </c>
      <c r="AB19" s="102">
        <f>IFERROR((-1.5*V19^4+2.05*V19^3+0.16*V19^2+0.04*V19+0.025)*P19,0)*'Fixed Factors'!$I$15</f>
        <v>43674.62769767495</v>
      </c>
      <c r="AC19" s="103">
        <f>IFERROR((-1.5*(W19)^4+2.05*(W19)^3+0.16*(W19)^2+0.04*W19+0.025)*Q19,0)*'Fixed Factors'!$I$13</f>
        <v>51950.275718038574</v>
      </c>
      <c r="AD19" s="103">
        <f>IFERROR((-1.5*(X19)^4+2.05*(X19)^3+0.16*(X19)^2+0.04*X19+0.025)*R19,0)*'Fixed Factors'!$I$14</f>
        <v>207801.1028721543</v>
      </c>
      <c r="AE19" s="103">
        <f>IFERROR((-1.5*(Y19)^4+2.05*(Y19)^3+0.16*(Y19)^2+0.04*Y19+0.025)*S19,0)*'Fixed Factors'!$I$15</f>
        <v>40288.478608727244</v>
      </c>
      <c r="AF19" s="224">
        <f>H19/$AF$1*'Network Crash Rates'!$D$4+'Network TDC'!I19/$AF$1*'Network Crash Rates'!$D$5+'Network TDC'!J19/$AF$1*'Network Crash Rates'!$D$6</f>
        <v>2.9114414856112889</v>
      </c>
      <c r="AG19" s="224">
        <f>H19/'Network TDC'!$AF$1*'Network Crash Rates'!$E$4+I19/'Network TDC'!$AF$1*'Network Crash Rates'!$E$5+J19/'Network TDC'!$AF$1*'Network Crash Rates'!$E$6</f>
        <v>131.01973423153487</v>
      </c>
      <c r="AH19" s="224">
        <f>H19/$AF$1*'Network Crash Rates'!$F$4+I19/$AF$1*'Network Crash Rates'!$F$5+J19/$AF$1*'Network Crash Rates'!$F$6</f>
        <v>474.58255960189115</v>
      </c>
      <c r="AI19" s="224">
        <f>K19/$AF$1*'Network Crash Rates'!$D$7+L19/$AF$1*'Network Crash Rates'!$D$8+M19/$AF$1*'Network Crash Rates'!$D$9</f>
        <v>2.8974421615097583</v>
      </c>
      <c r="AJ19" s="225">
        <f>K19/$AF$1*'Network Crash Rates'!$E$7+L19/$AF$1*'Network Crash Rates'!$E$8+M19/$AF$1*'Network Crash Rates'!$E$9</f>
        <v>130.38974124274617</v>
      </c>
      <c r="AK19" s="225">
        <f>K19/$AF$1*'Network Crash Rates'!$F$7+L19/$AF$1*'Network Crash Rates'!$F$8+M19/$AF$1*'Network Crash Rates'!$F$9</f>
        <v>472.30058515808537</v>
      </c>
      <c r="AL19" s="238">
        <f>E19-B19</f>
        <v>0</v>
      </c>
      <c r="AM19" s="238">
        <f t="shared" si="23"/>
        <v>0</v>
      </c>
      <c r="AN19" s="238">
        <f t="shared" si="24"/>
        <v>0</v>
      </c>
      <c r="AO19" s="106">
        <f t="shared" si="25"/>
        <v>-271731.90686000884</v>
      </c>
      <c r="AP19" s="106">
        <f t="shared" si="26"/>
        <v>-1242016.9857998788</v>
      </c>
      <c r="AQ19" s="106">
        <f t="shared" si="27"/>
        <v>-286575.70887440443</v>
      </c>
      <c r="AR19" s="106">
        <f t="shared" si="28"/>
        <v>-31867.969839204568</v>
      </c>
      <c r="AS19" s="106">
        <f t="shared" si="29"/>
        <v>-127471.87935681827</v>
      </c>
      <c r="AT19" s="106">
        <f t="shared" si="30"/>
        <v>-112079.01351468102</v>
      </c>
      <c r="AU19" s="239">
        <f t="shared" si="31"/>
        <v>0</v>
      </c>
      <c r="AV19" s="239">
        <f t="shared" si="32"/>
        <v>0</v>
      </c>
      <c r="AW19" s="239">
        <f t="shared" si="33"/>
        <v>0</v>
      </c>
      <c r="AX19" s="240">
        <f t="shared" si="34"/>
        <v>16.610971427676102</v>
      </c>
      <c r="AY19" s="240">
        <f t="shared" si="35"/>
        <v>16.438629710181143</v>
      </c>
      <c r="AZ19" s="240">
        <f t="shared" si="36"/>
        <v>14.581824515615333</v>
      </c>
      <c r="BA19" s="240">
        <f t="shared" si="37"/>
        <v>16.537178952991763</v>
      </c>
      <c r="BB19" s="240">
        <f t="shared" si="38"/>
        <v>16.353720271323233</v>
      </c>
      <c r="BC19" s="240">
        <f t="shared" si="39"/>
        <v>14.524414791483331</v>
      </c>
      <c r="BD19" s="227">
        <f t="shared" si="40"/>
        <v>-7.3792474684339027E-2</v>
      </c>
      <c r="BE19" s="227">
        <f t="shared" si="41"/>
        <v>-8.4909438857909691E-2</v>
      </c>
      <c r="BF19" s="227">
        <f t="shared" si="42"/>
        <v>-5.7409724132002182E-2</v>
      </c>
      <c r="BG19" s="240">
        <f t="shared" si="43"/>
        <v>48.204337571076373</v>
      </c>
      <c r="BH19" s="240">
        <f t="shared" si="44"/>
        <v>47.373962559012199</v>
      </c>
      <c r="BI19" s="240">
        <f t="shared" si="45"/>
        <v>50.352188018833289</v>
      </c>
      <c r="BJ19" s="240">
        <f t="shared" si="46"/>
        <v>49.226471473948727</v>
      </c>
      <c r="BK19" s="240">
        <f t="shared" si="47"/>
        <v>48.343362861345454</v>
      </c>
      <c r="BL19" s="240">
        <f t="shared" si="48"/>
        <v>54.369265605446621</v>
      </c>
      <c r="BM19" s="228">
        <f t="shared" si="49"/>
        <v>1.0221339028723548</v>
      </c>
      <c r="BN19" s="228">
        <f t="shared" si="50"/>
        <v>0.96940030233325558</v>
      </c>
      <c r="BO19" s="228">
        <f t="shared" si="51"/>
        <v>4.0170775866133326</v>
      </c>
    </row>
    <row r="20" spans="1:67" x14ac:dyDescent="0.25">
      <c r="A20" s="203">
        <v>2035</v>
      </c>
      <c r="B20" s="219">
        <f>'Network Model Data'!B20</f>
        <v>3684039.001810018</v>
      </c>
      <c r="C20" s="219">
        <f>'Network Model Data'!C20</f>
        <v>14633469.754195636</v>
      </c>
      <c r="D20" s="219">
        <f>'Network Model Data'!D20</f>
        <v>5087616.4961408945</v>
      </c>
      <c r="E20" s="219">
        <f>'Network Model Data'!E20</f>
        <v>3684039.001810018</v>
      </c>
      <c r="F20" s="219">
        <f>'Network Model Data'!F20</f>
        <v>14633469.754195636</v>
      </c>
      <c r="G20" s="219">
        <f>'Network Model Data'!G20</f>
        <v>5087616.4961408945</v>
      </c>
      <c r="H20" s="219">
        <f>'Network Model Data'!H20</f>
        <v>61177222.531059541</v>
      </c>
      <c r="I20" s="219">
        <f>'Network Model Data'!I20</f>
        <v>240511380.58446756</v>
      </c>
      <c r="J20" s="219">
        <f>'Network Model Data'!J20</f>
        <v>74118543.005010694</v>
      </c>
      <c r="K20" s="219">
        <f>'Network Model Data'!K20</f>
        <v>60900379.098814793</v>
      </c>
      <c r="L20" s="219">
        <f>'Network Model Data'!L20</f>
        <v>239232833.79159379</v>
      </c>
      <c r="M20" s="219">
        <f>'Network Model Data'!M20</f>
        <v>73834466.692779124</v>
      </c>
      <c r="N20" s="219">
        <f>'Network Model Data'!N20</f>
        <v>1269261.4330885678</v>
      </c>
      <c r="O20" s="219">
        <f>'Network Model Data'!O20</f>
        <v>5077045.7323542712</v>
      </c>
      <c r="P20" s="219">
        <f>'Network Model Data'!P20</f>
        <v>1476861.3890069877</v>
      </c>
      <c r="Q20" s="219">
        <f>'Network Model Data'!Q20</f>
        <v>1237682.6395971151</v>
      </c>
      <c r="R20" s="219">
        <f>'Network Model Data'!R20</f>
        <v>4950730.5583884604</v>
      </c>
      <c r="S20" s="219">
        <f>'Network Model Data'!S20</f>
        <v>1361236.5005373182</v>
      </c>
      <c r="T20" s="246">
        <f>'Network Model Data'!T20</f>
        <v>0.08</v>
      </c>
      <c r="U20" s="246">
        <f>'Network Model Data'!U20</f>
        <v>0.08</v>
      </c>
      <c r="V20" s="246">
        <f>'Network Model Data'!V20</f>
        <v>0.08</v>
      </c>
      <c r="W20" s="246">
        <f>'Network Model Data'!W20</f>
        <v>0.08</v>
      </c>
      <c r="X20" s="246">
        <f>'Network Model Data'!X20</f>
        <v>0.08</v>
      </c>
      <c r="Y20" s="246">
        <f>'Network Model Data'!Y20</f>
        <v>0.08</v>
      </c>
      <c r="Z20" s="220">
        <f>IFERROR((-1.5*T20^4+2.05*T20^3+0.16*T20^2+0.04*T20+0.025)*N20,0)*'Fixed Factors'!$I$13</f>
        <v>53302.510002638541</v>
      </c>
      <c r="AA20" s="220">
        <f>IFERROR((-1.5*U20^4+2.05*U20^3+0.16*U20^2+0.04*U20+0.025)*O20,0)*'Fixed Factors'!$I$14</f>
        <v>213210.04001055416</v>
      </c>
      <c r="AB20" s="102">
        <f>IFERROR((-1.5*V20^4+2.05*V20^3+0.16*V20^2+0.04*V20+0.025)*P20,0)*'Fixed Factors'!$I$15</f>
        <v>44619.172582501356</v>
      </c>
      <c r="AC20" s="103">
        <f>IFERROR((-1.5*(W20)^4+2.05*(W20)^3+0.16*(W20)^2+0.04*W20+0.025)*Q20,0)*'Fixed Factors'!$I$13</f>
        <v>51976.361652055224</v>
      </c>
      <c r="AD20" s="103">
        <f>IFERROR((-1.5*(X20)^4+2.05*(X20)^3+0.16*(X20)^2+0.04*X20+0.025)*R20,0)*'Fixed Factors'!$I$14</f>
        <v>207905.4466082209</v>
      </c>
      <c r="AE20" s="103">
        <f>IFERROR((-1.5*(Y20)^4+2.05*(Y20)^3+0.16*(Y20)^2+0.04*Y20+0.025)*S20,0)*'Fixed Factors'!$I$15</f>
        <v>41125.894952073548</v>
      </c>
      <c r="AF20" s="224">
        <f>H20/$AF$1*'Network Crash Rates'!$D$4+'Network TDC'!I20/$AF$1*'Network Crash Rates'!$D$5+'Network TDC'!J20/$AF$1*'Network Crash Rates'!$D$6</f>
        <v>2.9222763682333017</v>
      </c>
      <c r="AG20" s="224">
        <f>H20/'Network TDC'!$AF$1*'Network Crash Rates'!$E$4+I20/'Network TDC'!$AF$1*'Network Crash Rates'!$E$5+J20/'Network TDC'!$AF$1*'Network Crash Rates'!$E$6</f>
        <v>131.50732206339814</v>
      </c>
      <c r="AH20" s="224">
        <f>H20/$AF$1*'Network Crash Rates'!$F$4+I20/$AF$1*'Network Crash Rates'!$F$5+J20/$AF$1*'Network Crash Rates'!$F$6</f>
        <v>476.34871095789583</v>
      </c>
      <c r="AI20" s="224">
        <f>K20/$AF$1*'Network Crash Rates'!$D$7+L20/$AF$1*'Network Crash Rates'!$D$8+M20/$AF$1*'Network Crash Rates'!$D$9</f>
        <v>2.9079726764388676</v>
      </c>
      <c r="AJ20" s="225">
        <f>K20/$AF$1*'Network Crash Rates'!$E$7+L20/$AF$1*'Network Crash Rates'!$E$8+M20/$AF$1*'Network Crash Rates'!$E$9</f>
        <v>130.8636320195836</v>
      </c>
      <c r="AK20" s="225">
        <f>K20/$AF$1*'Network Crash Rates'!$F$7+L20/$AF$1*'Network Crash Rates'!$F$8+M20/$AF$1*'Network Crash Rates'!$F$9</f>
        <v>474.01712274047588</v>
      </c>
      <c r="AL20" s="238">
        <f t="shared" ref="AL20:AL29" si="52">E20-B20</f>
        <v>0</v>
      </c>
      <c r="AM20" s="238">
        <f t="shared" ref="AM20:AM29" si="53">F20-C20</f>
        <v>0</v>
      </c>
      <c r="AN20" s="238">
        <f t="shared" ref="AN20:AN29" si="54">G20-D20</f>
        <v>0</v>
      </c>
      <c r="AO20" s="106">
        <f t="shared" si="25"/>
        <v>-276843.43224474788</v>
      </c>
      <c r="AP20" s="106">
        <f t="shared" si="26"/>
        <v>-1278546.79287377</v>
      </c>
      <c r="AQ20" s="106">
        <f t="shared" si="27"/>
        <v>-284076.31223157048</v>
      </c>
      <c r="AR20" s="106">
        <f t="shared" si="28"/>
        <v>-31578.7934914527</v>
      </c>
      <c r="AS20" s="106">
        <f t="shared" si="29"/>
        <v>-126315.1739658108</v>
      </c>
      <c r="AT20" s="106">
        <f t="shared" si="30"/>
        <v>-115624.8884696695</v>
      </c>
      <c r="AU20" s="239">
        <f t="shared" si="31"/>
        <v>0</v>
      </c>
      <c r="AV20" s="239">
        <f t="shared" si="32"/>
        <v>0</v>
      </c>
      <c r="AW20" s="239">
        <f t="shared" si="33"/>
        <v>0</v>
      </c>
      <c r="AX20" s="240">
        <f t="shared" si="34"/>
        <v>16.606019236224792</v>
      </c>
      <c r="AY20" s="240">
        <f t="shared" si="35"/>
        <v>16.435704219466427</v>
      </c>
      <c r="AZ20" s="240">
        <f t="shared" si="36"/>
        <v>14.568421786750587</v>
      </c>
      <c r="BA20" s="240">
        <f t="shared" si="37"/>
        <v>16.530872520321751</v>
      </c>
      <c r="BB20" s="240">
        <f t="shared" si="38"/>
        <v>16.348332815804135</v>
      </c>
      <c r="BC20" s="240">
        <f t="shared" si="39"/>
        <v>14.512584969559857</v>
      </c>
      <c r="BD20" s="227">
        <f t="shared" si="40"/>
        <v>-7.5146715903041894E-2</v>
      </c>
      <c r="BE20" s="227">
        <f t="shared" si="41"/>
        <v>-8.7371403662292124E-2</v>
      </c>
      <c r="BF20" s="227">
        <f t="shared" si="42"/>
        <v>-5.5836817190730414E-2</v>
      </c>
      <c r="BG20" s="240">
        <f t="shared" si="43"/>
        <v>48.199071472764629</v>
      </c>
      <c r="BH20" s="240">
        <f t="shared" si="44"/>
        <v>47.372309264770067</v>
      </c>
      <c r="BI20" s="240">
        <f t="shared" si="45"/>
        <v>50.186526343441436</v>
      </c>
      <c r="BJ20" s="240">
        <f t="shared" si="46"/>
        <v>49.205165484617936</v>
      </c>
      <c r="BK20" s="240">
        <f t="shared" si="47"/>
        <v>48.322733578429236</v>
      </c>
      <c r="BL20" s="240">
        <f t="shared" si="48"/>
        <v>54.240733820783227</v>
      </c>
      <c r="BM20" s="228">
        <f t="shared" si="49"/>
        <v>1.0060940118533068</v>
      </c>
      <c r="BN20" s="228">
        <f t="shared" si="50"/>
        <v>0.95042431365916968</v>
      </c>
      <c r="BO20" s="228">
        <f t="shared" si="51"/>
        <v>4.0542074773417909</v>
      </c>
    </row>
    <row r="21" spans="1:67" s="221" customFormat="1" x14ac:dyDescent="0.25">
      <c r="A21" s="222">
        <v>2036</v>
      </c>
      <c r="B21" s="219">
        <f>'Network Model Data'!B21</f>
        <v>3685699.1046215664</v>
      </c>
      <c r="C21" s="219">
        <f>'Network Model Data'!C21</f>
        <v>14639392.806578567</v>
      </c>
      <c r="D21" s="219">
        <f>'Network Model Data'!D21</f>
        <v>5185311.1076536588</v>
      </c>
      <c r="E21" s="219">
        <f>'Network Model Data'!E21</f>
        <v>3685699.1046215664</v>
      </c>
      <c r="F21" s="219">
        <f>'Network Model Data'!F21</f>
        <v>14639392.806578567</v>
      </c>
      <c r="G21" s="219">
        <f>'Network Model Data'!G21</f>
        <v>5185311.1076536588</v>
      </c>
      <c r="H21" s="219">
        <f>'Network Model Data'!H21</f>
        <v>61186543.384197585</v>
      </c>
      <c r="I21" s="219">
        <f>'Network Model Data'!I21</f>
        <v>240565910.3355386</v>
      </c>
      <c r="J21" s="219">
        <f>'Network Model Data'!J21</f>
        <v>75472365.870687366</v>
      </c>
      <c r="K21" s="219">
        <f>'Network Model Data'!K21</f>
        <v>60904587.297440991</v>
      </c>
      <c r="L21" s="219">
        <f>'Network Model Data'!L21</f>
        <v>239250822.72774205</v>
      </c>
      <c r="M21" s="219">
        <f>'Network Model Data'!M21</f>
        <v>75190976.697573662</v>
      </c>
      <c r="N21" s="219">
        <f>'Network Model Data'!N21</f>
        <v>1269593.5126600151</v>
      </c>
      <c r="O21" s="219">
        <f>'Network Model Data'!O21</f>
        <v>5078374.0506400606</v>
      </c>
      <c r="P21" s="219">
        <f>'Network Model Data'!P21</f>
        <v>1508801.2576245381</v>
      </c>
      <c r="Q21" s="219">
        <f>'Network Model Data'!Q21</f>
        <v>1238304.1205656729</v>
      </c>
      <c r="R21" s="219">
        <f>'Network Model Data'!R21</f>
        <v>4953216.4822626915</v>
      </c>
      <c r="S21" s="219">
        <f>'Network Model Data'!S21</f>
        <v>1389530.4876044434</v>
      </c>
      <c r="T21" s="246">
        <f>'Network Model Data'!T21</f>
        <v>0.125</v>
      </c>
      <c r="U21" s="246">
        <f>'Network Model Data'!U21</f>
        <v>0.125</v>
      </c>
      <c r="V21" s="246">
        <f>'Network Model Data'!V21</f>
        <v>0.125</v>
      </c>
      <c r="W21" s="246">
        <f>'Network Model Data'!W21</f>
        <v>0.125</v>
      </c>
      <c r="X21" s="246">
        <f>'Network Model Data'!X21</f>
        <v>0.125</v>
      </c>
      <c r="Y21" s="246">
        <f>'Network Model Data'!Y21</f>
        <v>0.125</v>
      </c>
      <c r="Z21" s="220">
        <f>IFERROR((-1.5*T21^4+2.05*T21^3+0.16*T21^2+0.04*T21+0.025)*N21,0)*'Fixed Factors'!$I$13</f>
        <v>63773.455108415597</v>
      </c>
      <c r="AA21" s="220">
        <f>IFERROR((-1.5*U21^4+2.05*U21^3+0.16*U21^2+0.04*U21+0.025)*O21,0)*'Fixed Factors'!$I$14</f>
        <v>255093.82043366239</v>
      </c>
      <c r="AB21" s="220">
        <f>IFERROR((-1.5*V21^4+2.05*V21^3+0.16*V21^2+0.04*V21+0.025)*P21,0)*'Fixed Factors'!$I$15</f>
        <v>54524.600135152381</v>
      </c>
      <c r="AC21" s="219">
        <f>IFERROR((-1.5*(W21)^4+2.05*(W21)^3+0.16*(W21)^2+0.04*W21+0.025)*Q21,0)*'Fixed Factors'!$I$13</f>
        <v>62201.745248369618</v>
      </c>
      <c r="AD21" s="219">
        <f>IFERROR((-1.5*(X21)^4+2.05*(X21)^3+0.16*(X21)^2+0.04*X21+0.025)*R21,0)*'Fixed Factors'!$I$14</f>
        <v>248806.98099347847</v>
      </c>
      <c r="AE21" s="219">
        <f>IFERROR((-1.5*(Y21)^4+2.05*(Y21)^3+0.16*(Y21)^2+0.04*Y21+0.025)*S21,0)*'Fixed Factors'!$I$15</f>
        <v>50214.429388478937</v>
      </c>
      <c r="AF21" s="224">
        <f>H21/$AF$1*'Network Crash Rates'!$D$4+'Network TDC'!I21/$AF$1*'Network Crash Rates'!$D$5+'Network TDC'!J21/$AF$1*'Network Crash Rates'!$D$6</f>
        <v>2.9333001971351336</v>
      </c>
      <c r="AG21" s="224">
        <f>H21/'Network TDC'!$AF$1*'Network Crash Rates'!$E$4+I21/'Network TDC'!$AF$1*'Network Crash Rates'!$E$5+J21/'Network TDC'!$AF$1*'Network Crash Rates'!$E$6</f>
        <v>132.00341279373566</v>
      </c>
      <c r="AH21" s="224">
        <f>H21/$AF$1*'Network Crash Rates'!$F$4+I21/$AF$1*'Network Crash Rates'!$F$5+J21/$AF$1*'Network Crash Rates'!$F$6</f>
        <v>478.14566169954753</v>
      </c>
      <c r="AI21" s="224">
        <f>K21/$AF$1*'Network Crash Rates'!$D$7+L21/$AF$1*'Network Crash Rates'!$D$8+M21/$AF$1*'Network Crash Rates'!$D$9</f>
        <v>2.9186935031561561</v>
      </c>
      <c r="AJ21" s="224">
        <f>K21/$AF$1*'Network Crash Rates'!$E$7+L21/$AF$1*'Network Crash Rates'!$E$8+M21/$AF$1*'Network Crash Rates'!$E$9</f>
        <v>131.34608714505441</v>
      </c>
      <c r="AK21" s="224">
        <f>K21/$AF$1*'Network Crash Rates'!$F$7+L21/$AF$1*'Network Crash Rates'!$F$8+M21/$AF$1*'Network Crash Rates'!$F$9</f>
        <v>475.76468229462938</v>
      </c>
      <c r="AL21" s="238">
        <f t="shared" si="52"/>
        <v>0</v>
      </c>
      <c r="AM21" s="238">
        <f t="shared" si="53"/>
        <v>0</v>
      </c>
      <c r="AN21" s="238">
        <f t="shared" si="54"/>
        <v>0</v>
      </c>
      <c r="AO21" s="106">
        <f t="shared" si="25"/>
        <v>-281956.08675659448</v>
      </c>
      <c r="AP21" s="106">
        <f t="shared" si="26"/>
        <v>-1315087.6077965498</v>
      </c>
      <c r="AQ21" s="106">
        <f t="shared" si="27"/>
        <v>-281389.17311370373</v>
      </c>
      <c r="AR21" s="106">
        <f t="shared" si="28"/>
        <v>-31289.392094342271</v>
      </c>
      <c r="AS21" s="106">
        <f t="shared" si="29"/>
        <v>-125157.56837736908</v>
      </c>
      <c r="AT21" s="106">
        <f t="shared" si="30"/>
        <v>-119270.7700200947</v>
      </c>
      <c r="AU21" s="239">
        <f t="shared" si="31"/>
        <v>0</v>
      </c>
      <c r="AV21" s="239">
        <f t="shared" si="32"/>
        <v>0</v>
      </c>
      <c r="AW21" s="239">
        <f t="shared" si="33"/>
        <v>0</v>
      </c>
      <c r="AX21" s="240">
        <f t="shared" si="34"/>
        <v>16.60106852115916</v>
      </c>
      <c r="AY21" s="240">
        <f t="shared" si="35"/>
        <v>16.432779249384883</v>
      </c>
      <c r="AZ21" s="240">
        <f t="shared" si="36"/>
        <v>14.55503137686148</v>
      </c>
      <c r="BA21" s="240">
        <f t="shared" si="37"/>
        <v>16.524568492602015</v>
      </c>
      <c r="BB21" s="240">
        <f t="shared" si="38"/>
        <v>16.3429471350908</v>
      </c>
      <c r="BC21" s="240">
        <f t="shared" si="39"/>
        <v>14.500764782770652</v>
      </c>
      <c r="BD21" s="227">
        <f t="shared" si="40"/>
        <v>-7.6500028557145328E-2</v>
      </c>
      <c r="BE21" s="227">
        <f t="shared" si="41"/>
        <v>-8.9832114294082999E-2</v>
      </c>
      <c r="BF21" s="227">
        <f t="shared" si="42"/>
        <v>-5.4266594090828235E-2</v>
      </c>
      <c r="BG21" s="240">
        <f t="shared" si="43"/>
        <v>48.193805949749482</v>
      </c>
      <c r="BH21" s="240">
        <f t="shared" si="44"/>
        <v>47.370656028225909</v>
      </c>
      <c r="BI21" s="240">
        <f t="shared" si="45"/>
        <v>50.021409704755492</v>
      </c>
      <c r="BJ21" s="240">
        <f t="shared" si="46"/>
        <v>49.183868716853667</v>
      </c>
      <c r="BK21" s="240">
        <f t="shared" si="47"/>
        <v>48.302113098527293</v>
      </c>
      <c r="BL21" s="240">
        <f t="shared" si="48"/>
        <v>54.112505891974514</v>
      </c>
      <c r="BM21" s="228">
        <f t="shared" si="49"/>
        <v>0.99006276710418462</v>
      </c>
      <c r="BN21" s="228">
        <f t="shared" si="50"/>
        <v>0.93145707030138425</v>
      </c>
      <c r="BO21" s="228">
        <f t="shared" si="51"/>
        <v>4.0910961872190228</v>
      </c>
    </row>
    <row r="22" spans="1:67" x14ac:dyDescent="0.25">
      <c r="A22" s="203">
        <v>2037</v>
      </c>
      <c r="B22" s="219">
        <f>'Network Model Data'!B22</f>
        <v>3687359.9555091653</v>
      </c>
      <c r="C22" s="219">
        <f>'Network Model Data'!C22</f>
        <v>14645318.256379889</v>
      </c>
      <c r="D22" s="219">
        <f>'Network Model Data'!D22</f>
        <v>5284881.6933334749</v>
      </c>
      <c r="E22" s="219">
        <f>'Network Model Data'!E22</f>
        <v>3687359.9555091653</v>
      </c>
      <c r="F22" s="219">
        <f>'Network Model Data'!F22</f>
        <v>14645318.256379889</v>
      </c>
      <c r="G22" s="219">
        <f>'Network Model Data'!G22</f>
        <v>5284881.6933334749</v>
      </c>
      <c r="H22" s="219">
        <f>'Network Model Data'!H22</f>
        <v>61195865.657444283</v>
      </c>
      <c r="I22" s="219">
        <f>'Network Model Data'!I22</f>
        <v>240620452.44982398</v>
      </c>
      <c r="J22" s="219">
        <f>'Network Model Data'!J22</f>
        <v>76850917.181869313</v>
      </c>
      <c r="K22" s="219">
        <f>'Network Model Data'!K22</f>
        <v>60908795.786852501</v>
      </c>
      <c r="L22" s="219">
        <f>'Network Model Data'!L22</f>
        <v>239268813.01655507</v>
      </c>
      <c r="M22" s="219">
        <f>'Network Model Data'!M22</f>
        <v>76572408.930096403</v>
      </c>
      <c r="N22" s="219">
        <f>'Network Model Data'!N22</f>
        <v>1269925.6791141478</v>
      </c>
      <c r="O22" s="219">
        <f>'Network Model Data'!O22</f>
        <v>5079702.7164565912</v>
      </c>
      <c r="P22" s="219">
        <f>'Network Model Data'!P22</f>
        <v>1541431.8851818915</v>
      </c>
      <c r="Q22" s="219">
        <f>'Network Model Data'!Q22</f>
        <v>1238925.9136001689</v>
      </c>
      <c r="R22" s="219">
        <f>'Network Model Data'!R22</f>
        <v>4955703.6544006756</v>
      </c>
      <c r="S22" s="219">
        <f>'Network Model Data'!S22</f>
        <v>1418412.5794600009</v>
      </c>
      <c r="T22" s="246">
        <f>'Network Model Data'!T22</f>
        <v>0.125</v>
      </c>
      <c r="U22" s="246">
        <f>'Network Model Data'!U22</f>
        <v>0.125</v>
      </c>
      <c r="V22" s="246">
        <f>'Network Model Data'!V22</f>
        <v>0.125</v>
      </c>
      <c r="W22" s="246">
        <f>'Network Model Data'!W22</f>
        <v>0.125</v>
      </c>
      <c r="X22" s="246">
        <f>'Network Model Data'!X22</f>
        <v>0.125</v>
      </c>
      <c r="Y22" s="246">
        <f>'Network Model Data'!Y22</f>
        <v>0.125</v>
      </c>
      <c r="Z22" s="220">
        <f>IFERROR((-1.5*T22^4+2.05*T22^3+0.16*T22^2+0.04*T22+0.025)*N22,0)*'Fixed Factors'!$I$13</f>
        <v>63790.140293271936</v>
      </c>
      <c r="AA22" s="220">
        <f>IFERROR((-1.5*U22^4+2.05*U22^3+0.16*U22^2+0.04*U22+0.025)*O22,0)*'Fixed Factors'!$I$14</f>
        <v>255160.56117308774</v>
      </c>
      <c r="AB22" s="102">
        <f>IFERROR((-1.5*V22^4+2.05*V22^3+0.16*V22^2+0.04*V22+0.025)*P22,0)*'Fixed Factors'!$I$15</f>
        <v>55703.795811675685</v>
      </c>
      <c r="AC22" s="103">
        <f>IFERROR((-1.5*(W22)^4+2.05*(W22)^3+0.16*(W22)^2+0.04*W22+0.025)*Q22,0)*'Fixed Factors'!$I$13</f>
        <v>62232.978780816607</v>
      </c>
      <c r="AD22" s="103">
        <f>IFERROR((-1.5*(X22)^4+2.05*(X22)^3+0.16*(X22)^2+0.04*X22+0.025)*R22,0)*'Fixed Factors'!$I$14</f>
        <v>248931.91512326643</v>
      </c>
      <c r="AE22" s="103">
        <f>IFERROR((-1.5*(Y22)^4+2.05*(Y22)^3+0.16*(Y22)^2+0.04*Y22+0.025)*S22,0)*'Fixed Factors'!$I$15</f>
        <v>51258.161623942709</v>
      </c>
      <c r="AF22" s="224">
        <f>H22/$AF$1*'Network Crash Rates'!$D$4+'Network TDC'!I22/$AF$1*'Network Crash Rates'!$D$5+'Network TDC'!J22/$AF$1*'Network Crash Rates'!$D$6</f>
        <v>2.9445164216083337</v>
      </c>
      <c r="AG22" s="224">
        <f>H22/'Network TDC'!$AF$1*'Network Crash Rates'!$E$4+I22/'Network TDC'!$AF$1*'Network Crash Rates'!$E$5+J22/'Network TDC'!$AF$1*'Network Crash Rates'!$E$6</f>
        <v>132.50816164643379</v>
      </c>
      <c r="AH22" s="224">
        <f>H22/$AF$1*'Network Crash Rates'!$F$4+I22/$AF$1*'Network Crash Rates'!$F$5+J22/$AF$1*'Network Crash Rates'!$F$6</f>
        <v>479.97397408221696</v>
      </c>
      <c r="AI22" s="224">
        <f>K22/$AF$1*'Network Crash Rates'!$D$7+L22/$AF$1*'Network Crash Rates'!$D$8+M22/$AF$1*'Network Crash Rates'!$D$9</f>
        <v>2.9296081378957268</v>
      </c>
      <c r="AJ22" s="225">
        <f>K22/$AF$1*'Network Crash Rates'!$E$7+L22/$AF$1*'Network Crash Rates'!$E$8+M22/$AF$1*'Network Crash Rates'!$E$9</f>
        <v>131.83726395553825</v>
      </c>
      <c r="AK22" s="225">
        <f>K22/$AF$1*'Network Crash Rates'!$F$7+L22/$AF$1*'Network Crash Rates'!$F$8+M22/$AF$1*'Network Crash Rates'!$F$9</f>
        <v>477.54383372783701</v>
      </c>
      <c r="AL22" s="238">
        <f t="shared" si="52"/>
        <v>0</v>
      </c>
      <c r="AM22" s="238">
        <f t="shared" si="53"/>
        <v>0</v>
      </c>
      <c r="AN22" s="238">
        <f t="shared" si="54"/>
        <v>0</v>
      </c>
      <c r="AO22" s="106">
        <f t="shared" si="25"/>
        <v>-287069.87059178203</v>
      </c>
      <c r="AP22" s="106">
        <f t="shared" si="26"/>
        <v>-1351639.4332689047</v>
      </c>
      <c r="AQ22" s="106">
        <f t="shared" si="27"/>
        <v>-278508.25177291036</v>
      </c>
      <c r="AR22" s="106">
        <f t="shared" si="28"/>
        <v>-30999.765513978899</v>
      </c>
      <c r="AS22" s="106">
        <f t="shared" si="29"/>
        <v>-123999.06205591559</v>
      </c>
      <c r="AT22" s="106">
        <f t="shared" si="30"/>
        <v>-123019.30572189065</v>
      </c>
      <c r="AU22" s="239">
        <f t="shared" si="31"/>
        <v>0</v>
      </c>
      <c r="AV22" s="239">
        <f t="shared" si="32"/>
        <v>0</v>
      </c>
      <c r="AW22" s="239">
        <f t="shared" si="33"/>
        <v>0</v>
      </c>
      <c r="AX22" s="240">
        <f t="shared" si="34"/>
        <v>16.596119282039041</v>
      </c>
      <c r="AY22" s="240">
        <f t="shared" si="35"/>
        <v>16.429854799843856</v>
      </c>
      <c r="AZ22" s="240">
        <f t="shared" si="36"/>
        <v>14.541653274625165</v>
      </c>
      <c r="BA22" s="240">
        <f t="shared" si="37"/>
        <v>16.518266868915426</v>
      </c>
      <c r="BB22" s="240">
        <f t="shared" si="38"/>
        <v>16.337563228598547</v>
      </c>
      <c r="BC22" s="240">
        <f t="shared" si="39"/>
        <v>14.488954223268117</v>
      </c>
      <c r="BD22" s="227">
        <f t="shared" si="40"/>
        <v>-7.7852413123615349E-2</v>
      </c>
      <c r="BE22" s="227">
        <f t="shared" si="41"/>
        <v>-9.229157124530829E-2</v>
      </c>
      <c r="BF22" s="227">
        <f t="shared" si="42"/>
        <v>-5.2699051357048887E-2</v>
      </c>
      <c r="BG22" s="240">
        <f t="shared" si="43"/>
        <v>48.18854100196809</v>
      </c>
      <c r="BH22" s="240">
        <f t="shared" si="44"/>
        <v>47.369002849377715</v>
      </c>
      <c r="BI22" s="240">
        <f t="shared" si="45"/>
        <v>49.8568363095725</v>
      </c>
      <c r="BJ22" s="240">
        <f t="shared" si="46"/>
        <v>49.162581166664687</v>
      </c>
      <c r="BK22" s="240">
        <f t="shared" si="47"/>
        <v>48.281501417883177</v>
      </c>
      <c r="BL22" s="240">
        <f t="shared" si="48"/>
        <v>53.984581100689354</v>
      </c>
      <c r="BM22" s="228">
        <f t="shared" si="49"/>
        <v>0.97404016469659638</v>
      </c>
      <c r="BN22" s="228">
        <f t="shared" si="50"/>
        <v>0.91249856850546252</v>
      </c>
      <c r="BO22" s="228">
        <f t="shared" si="51"/>
        <v>4.1277447911168537</v>
      </c>
    </row>
    <row r="23" spans="1:67" x14ac:dyDescent="0.25">
      <c r="A23" s="203">
        <v>2038</v>
      </c>
      <c r="B23" s="219">
        <f>'Network Model Data'!B23</f>
        <v>3689021.5548099135</v>
      </c>
      <c r="C23" s="219">
        <f>'Network Model Data'!C23</f>
        <v>14651246.104569986</v>
      </c>
      <c r="D23" s="219">
        <f>'Network Model Data'!D23</f>
        <v>5386364.2764473483</v>
      </c>
      <c r="E23" s="219">
        <f>'Network Model Data'!E23</f>
        <v>3689021.5548099135</v>
      </c>
      <c r="F23" s="219">
        <f>'Network Model Data'!F23</f>
        <v>14651246.104569986</v>
      </c>
      <c r="G23" s="219">
        <f>'Network Model Data'!G23</f>
        <v>5386364.2764473483</v>
      </c>
      <c r="H23" s="219">
        <f>'Network Model Data'!H23</f>
        <v>61205189.351016</v>
      </c>
      <c r="I23" s="219">
        <f>'Network Model Data'!I23</f>
        <v>240675006.93012676</v>
      </c>
      <c r="J23" s="219">
        <f>'Network Model Data'!J23</f>
        <v>78254648.61952056</v>
      </c>
      <c r="K23" s="219">
        <f>'Network Model Data'!K23</f>
        <v>60913004.567069419</v>
      </c>
      <c r="L23" s="219">
        <f>'Network Model Data'!L23</f>
        <v>239286804.65813455</v>
      </c>
      <c r="M23" s="219">
        <f>'Network Model Data'!M23</f>
        <v>77979221.269340307</v>
      </c>
      <c r="N23" s="219">
        <f>'Network Model Data'!N23</f>
        <v>1270257.9324736972</v>
      </c>
      <c r="O23" s="219">
        <f>'Network Model Data'!O23</f>
        <v>5081031.7298947889</v>
      </c>
      <c r="P23" s="219">
        <f>'Network Model Data'!P23</f>
        <v>1574768.2106231817</v>
      </c>
      <c r="Q23" s="219">
        <f>'Network Model Data'!Q23</f>
        <v>1239548.0188573017</v>
      </c>
      <c r="R23" s="219">
        <f>'Network Model Data'!R23</f>
        <v>4958192.0754292067</v>
      </c>
      <c r="S23" s="219">
        <f>'Network Model Data'!S23</f>
        <v>1447895.0001585698</v>
      </c>
      <c r="T23" s="246">
        <f>'Network Model Data'!T23</f>
        <v>0.125</v>
      </c>
      <c r="U23" s="246">
        <f>'Network Model Data'!U23</f>
        <v>0.125</v>
      </c>
      <c r="V23" s="246">
        <f>'Network Model Data'!V23</f>
        <v>0.125</v>
      </c>
      <c r="W23" s="246">
        <f>'Network Model Data'!W23</f>
        <v>0.125</v>
      </c>
      <c r="X23" s="246">
        <f>'Network Model Data'!X23</f>
        <v>0.125</v>
      </c>
      <c r="Y23" s="246">
        <f>'Network Model Data'!Y23</f>
        <v>0.125</v>
      </c>
      <c r="Z23" s="220">
        <f>IFERROR((-1.5*T23^4+2.05*T23^3+0.16*T23^2+0.04*T23+0.025)*N23,0)*'Fixed Factors'!$I$13</f>
        <v>63806.829843508734</v>
      </c>
      <c r="AA23" s="220">
        <f>IFERROR((-1.5*U23^4+2.05*U23^3+0.16*U23^2+0.04*U23+0.025)*O23,0)*'Fixed Factors'!$I$14</f>
        <v>255227.31937403494</v>
      </c>
      <c r="AB23" s="102">
        <f>IFERROR((-1.5*V23^4+2.05*V23^3+0.16*V23^2+0.04*V23+0.025)*P23,0)*'Fixed Factors'!$I$15</f>
        <v>56908.493783311365</v>
      </c>
      <c r="AC23" s="103">
        <f>IFERROR((-1.5*(W23)^4+2.05*(W23)^3+0.16*(W23)^2+0.04*W23+0.025)*Q23,0)*'Fixed Factors'!$I$13</f>
        <v>62264.227996642658</v>
      </c>
      <c r="AD23" s="103">
        <f>IFERROR((-1.5*(X23)^4+2.05*(X23)^3+0.16*(X23)^2+0.04*X23+0.025)*R23,0)*'Fixed Factors'!$I$14</f>
        <v>249056.91198657063</v>
      </c>
      <c r="AE23" s="103">
        <f>IFERROR((-1.5*(Y23)^4+2.05*(Y23)^3+0.16*(Y23)^2+0.04*Y23+0.025)*S23,0)*'Fixed Factors'!$I$15</f>
        <v>52323.588360222537</v>
      </c>
      <c r="AF23" s="224">
        <f>H23/$AF$1*'Network Crash Rates'!$D$4+'Network TDC'!I23/$AF$1*'Network Crash Rates'!$D$5+'Network TDC'!J23/$AF$1*'Network Crash Rates'!$D$6</f>
        <v>2.9559285539475577</v>
      </c>
      <c r="AG23" s="224">
        <f>H23/'Network TDC'!$AF$1*'Network Crash Rates'!$E$4+I23/'Network TDC'!$AF$1*'Network Crash Rates'!$E$5+J23/'Network TDC'!$AF$1*'Network Crash Rates'!$E$6</f>
        <v>133.02172668062383</v>
      </c>
      <c r="AH23" s="224">
        <f>H23/$AF$1*'Network Crash Rates'!$F$4+I23/$AF$1*'Network Crash Rates'!$F$5+J23/$AF$1*'Network Crash Rates'!$F$6</f>
        <v>481.83422063116228</v>
      </c>
      <c r="AI23" s="224">
        <f>K23/$AF$1*'Network Crash Rates'!$D$7+L23/$AF$1*'Network Crash Rates'!$D$8+M23/$AF$1*'Network Crash Rates'!$D$9</f>
        <v>2.9407201411255759</v>
      </c>
      <c r="AJ23" s="225">
        <f>K23/$AF$1*'Network Crash Rates'!$E$7+L23/$AF$1*'Network Crash Rates'!$E$8+M23/$AF$1*'Network Crash Rates'!$E$9</f>
        <v>132.33732267804734</v>
      </c>
      <c r="AK23" s="225">
        <f>K23/$AF$1*'Network Crash Rates'!$F$7+L23/$AF$1*'Network Crash Rates'!$F$8+M23/$AF$1*'Network Crash Rates'!$F$9</f>
        <v>479.35515741790221</v>
      </c>
      <c r="AL23" s="238">
        <f t="shared" si="52"/>
        <v>0</v>
      </c>
      <c r="AM23" s="238">
        <f t="shared" si="53"/>
        <v>0</v>
      </c>
      <c r="AN23" s="238">
        <f t="shared" si="54"/>
        <v>0</v>
      </c>
      <c r="AO23" s="106">
        <f t="shared" si="25"/>
        <v>-292184.78394658118</v>
      </c>
      <c r="AP23" s="106">
        <f t="shared" si="26"/>
        <v>-1388202.2719922066</v>
      </c>
      <c r="AQ23" s="106">
        <f t="shared" si="27"/>
        <v>-275427.35018025339</v>
      </c>
      <c r="AR23" s="106">
        <f t="shared" si="28"/>
        <v>-30709.913616395555</v>
      </c>
      <c r="AS23" s="106">
        <f t="shared" si="29"/>
        <v>-122839.65446558222</v>
      </c>
      <c r="AT23" s="106">
        <f t="shared" si="30"/>
        <v>-126873.21046461188</v>
      </c>
      <c r="AU23" s="239">
        <f t="shared" si="31"/>
        <v>0</v>
      </c>
      <c r="AV23" s="239">
        <f t="shared" si="32"/>
        <v>0</v>
      </c>
      <c r="AW23" s="239">
        <f t="shared" si="33"/>
        <v>0</v>
      </c>
      <c r="AX23" s="240">
        <f t="shared" si="34"/>
        <v>16.591171518424417</v>
      </c>
      <c r="AY23" s="240">
        <f t="shared" si="35"/>
        <v>16.426930870750706</v>
      </c>
      <c r="AZ23" s="240">
        <f t="shared" si="36"/>
        <v>14.528287468729186</v>
      </c>
      <c r="BA23" s="240">
        <f t="shared" si="37"/>
        <v>16.511967648345205</v>
      </c>
      <c r="BB23" s="240">
        <f t="shared" si="38"/>
        <v>16.332181095742886</v>
      </c>
      <c r="BC23" s="240">
        <f t="shared" si="39"/>
        <v>14.477153283211026</v>
      </c>
      <c r="BD23" s="227">
        <f t="shared" si="40"/>
        <v>-7.9203870079211924E-2</v>
      </c>
      <c r="BE23" s="227">
        <f t="shared" si="41"/>
        <v>-9.4749775007819892E-2</v>
      </c>
      <c r="BF23" s="227">
        <f t="shared" si="42"/>
        <v>-5.113418551816018E-2</v>
      </c>
      <c r="BG23" s="240">
        <f t="shared" si="43"/>
        <v>48.1832766293576</v>
      </c>
      <c r="BH23" s="240">
        <f t="shared" si="44"/>
        <v>47.367349728223466</v>
      </c>
      <c r="BI23" s="240">
        <f t="shared" si="45"/>
        <v>49.692804370589187</v>
      </c>
      <c r="BJ23" s="240">
        <f t="shared" si="46"/>
        <v>49.141302830061477</v>
      </c>
      <c r="BK23" s="240">
        <f t="shared" si="47"/>
        <v>48.260898532742026</v>
      </c>
      <c r="BL23" s="240">
        <f t="shared" si="48"/>
        <v>53.856958730294821</v>
      </c>
      <c r="BM23" s="228">
        <f t="shared" si="49"/>
        <v>0.9580262007038769</v>
      </c>
      <c r="BN23" s="228">
        <f t="shared" si="50"/>
        <v>0.89354880451855934</v>
      </c>
      <c r="BO23" s="228">
        <f t="shared" si="51"/>
        <v>4.1641543597056341</v>
      </c>
    </row>
    <row r="24" spans="1:67" x14ac:dyDescent="0.25">
      <c r="A24" s="203">
        <v>2039</v>
      </c>
      <c r="B24" s="219">
        <f>'Network Model Data'!B24</f>
        <v>3690683.9028610596</v>
      </c>
      <c r="C24" s="219">
        <f>'Network Model Data'!C24</f>
        <v>14657176.352119625</v>
      </c>
      <c r="D24" s="219">
        <f>'Network Model Data'!D24</f>
        <v>5489795.571996632</v>
      </c>
      <c r="E24" s="219">
        <f>'Network Model Data'!E24</f>
        <v>3690683.9028610596</v>
      </c>
      <c r="F24" s="219">
        <f>'Network Model Data'!F24</f>
        <v>14657176.352119625</v>
      </c>
      <c r="G24" s="219">
        <f>'Network Model Data'!G24</f>
        <v>5489795.571996632</v>
      </c>
      <c r="H24" s="219">
        <f>'Network Model Data'!H24</f>
        <v>61214514.465129137</v>
      </c>
      <c r="I24" s="219">
        <f>'Network Model Data'!I24</f>
        <v>240729573.77925059</v>
      </c>
      <c r="J24" s="219">
        <f>'Network Model Data'!J24</f>
        <v>79684020.114848509</v>
      </c>
      <c r="K24" s="219">
        <f>'Network Model Data'!K24</f>
        <v>60917213.638111837</v>
      </c>
      <c r="L24" s="219">
        <f>'Network Model Data'!L24</f>
        <v>239304797.65258223</v>
      </c>
      <c r="M24" s="219">
        <f>'Network Model Data'!M24</f>
        <v>79411880.006594956</v>
      </c>
      <c r="N24" s="219">
        <f>'Network Model Data'!N24</f>
        <v>1270590.2727614006</v>
      </c>
      <c r="O24" s="219">
        <f>'Network Model Data'!O24</f>
        <v>5082361.0910456022</v>
      </c>
      <c r="P24" s="219">
        <f>'Network Model Data'!P24</f>
        <v>1608825.4959749361</v>
      </c>
      <c r="Q24" s="219">
        <f>'Network Model Data'!Q24</f>
        <v>1240170.4364938487</v>
      </c>
      <c r="R24" s="219">
        <f>'Network Model Data'!R24</f>
        <v>4960681.7459753947</v>
      </c>
      <c r="S24" s="219">
        <f>'Network Model Data'!S24</f>
        <v>1477990.227837868</v>
      </c>
      <c r="T24" s="246">
        <f>'Network Model Data'!T24</f>
        <v>0.125</v>
      </c>
      <c r="U24" s="246">
        <f>'Network Model Data'!U24</f>
        <v>0.125</v>
      </c>
      <c r="V24" s="246">
        <f>'Network Model Data'!V24</f>
        <v>0.125</v>
      </c>
      <c r="W24" s="246">
        <f>'Network Model Data'!W24</f>
        <v>0.125</v>
      </c>
      <c r="X24" s="246">
        <f>'Network Model Data'!X24</f>
        <v>0.125</v>
      </c>
      <c r="Y24" s="246">
        <f>'Network Model Data'!Y24</f>
        <v>0.125</v>
      </c>
      <c r="Z24" s="220">
        <f>IFERROR((-1.5*T24^4+2.05*T24^3+0.16*T24^2+0.04*T24+0.025)*N24,0)*'Fixed Factors'!$I$13</f>
        <v>63823.523760268086</v>
      </c>
      <c r="AA24" s="220">
        <f>IFERROR((-1.5*U24^4+2.05*U24^3+0.16*U24^2+0.04*U24+0.025)*O24,0)*'Fixed Factors'!$I$14</f>
        <v>255294.09504107235</v>
      </c>
      <c r="AB24" s="102">
        <f>IFERROR((-1.5*V24^4+2.05*V24^3+0.16*V24^2+0.04*V24+0.025)*P24,0)*'Fixed Factors'!$I$15</f>
        <v>58139.245584523938</v>
      </c>
      <c r="AC24" s="103">
        <f>IFERROR((-1.5*(W24)^4+2.05*(W24)^3+0.16*(W24)^2+0.04*W24+0.025)*Q24,0)*'Fixed Factors'!$I$13</f>
        <v>62295.492903722923</v>
      </c>
      <c r="AD24" s="103">
        <f>IFERROR((-1.5*(X24)^4+2.05*(X24)^3+0.16*(X24)^2+0.04*X24+0.025)*R24,0)*'Fixed Factors'!$I$14</f>
        <v>249181.97161489169</v>
      </c>
      <c r="AE24" s="103">
        <f>IFERROR((-1.5*(Y24)^4+2.05*(Y24)^3+0.16*(Y24)^2+0.04*Y24+0.025)*S24,0)*'Fixed Factors'!$I$15</f>
        <v>53411.160528457338</v>
      </c>
      <c r="AF24" s="224">
        <f>H24/$AF$1*'Network Crash Rates'!$D$4+'Network TDC'!I24/$AF$1*'Network Crash Rates'!$D$5+'Network TDC'!J24/$AF$1*'Network Crash Rates'!$D$6</f>
        <v>2.9675401706013584</v>
      </c>
      <c r="AG24" s="224">
        <f>H24/'Network TDC'!$AF$1*'Network Crash Rates'!$E$4+I24/'Network TDC'!$AF$1*'Network Crash Rates'!$E$5+J24/'Network TDC'!$AF$1*'Network Crash Rates'!$E$6</f>
        <v>133.54426884246979</v>
      </c>
      <c r="AH24" s="224">
        <f>H24/$AF$1*'Network Crash Rates'!$F$4+I24/$AF$1*'Network Crash Rates'!$F$5+J24/$AF$1*'Network Crash Rates'!$F$6</f>
        <v>483.72698432911437</v>
      </c>
      <c r="AI24" s="224">
        <f>K24/$AF$1*'Network Crash Rates'!$D$7+L24/$AF$1*'Network Crash Rates'!$D$8+M24/$AF$1*'Network Crash Rates'!$D$9</f>
        <v>2.9520331387277192</v>
      </c>
      <c r="AJ24" s="225">
        <f>K24/$AF$1*'Network Crash Rates'!$E$7+L24/$AF$1*'Network Crash Rates'!$E$8+M24/$AF$1*'Network Crash Rates'!$E$9</f>
        <v>132.84642648333423</v>
      </c>
      <c r="AK24" s="225">
        <f>K24/$AF$1*'Network Crash Rates'!$F$7+L24/$AF$1*'Network Crash Rates'!$F$8+M24/$AF$1*'Network Crash Rates'!$F$9</f>
        <v>481.19924440550926</v>
      </c>
      <c r="AL24" s="238">
        <f t="shared" si="52"/>
        <v>0</v>
      </c>
      <c r="AM24" s="238">
        <f t="shared" si="53"/>
        <v>0</v>
      </c>
      <c r="AN24" s="238">
        <f t="shared" si="54"/>
        <v>0</v>
      </c>
      <c r="AO24" s="106">
        <f t="shared" si="25"/>
        <v>-297300.82701729983</v>
      </c>
      <c r="AP24" s="106">
        <f t="shared" si="26"/>
        <v>-1424776.1266683638</v>
      </c>
      <c r="AQ24" s="106">
        <f t="shared" si="27"/>
        <v>-272140.10825355351</v>
      </c>
      <c r="AR24" s="106">
        <f t="shared" si="28"/>
        <v>-30419.836267551873</v>
      </c>
      <c r="AS24" s="106">
        <f t="shared" si="29"/>
        <v>-121679.34507020749</v>
      </c>
      <c r="AT24" s="106">
        <f t="shared" si="30"/>
        <v>-130835.26813706802</v>
      </c>
      <c r="AU24" s="239">
        <f t="shared" si="31"/>
        <v>0</v>
      </c>
      <c r="AV24" s="239">
        <f t="shared" si="32"/>
        <v>0</v>
      </c>
      <c r="AW24" s="239">
        <f t="shared" si="33"/>
        <v>0</v>
      </c>
      <c r="AX24" s="240">
        <f t="shared" si="34"/>
        <v>16.586225229875406</v>
      </c>
      <c r="AY24" s="240">
        <f t="shared" si="35"/>
        <v>16.42400746201282</v>
      </c>
      <c r="AZ24" s="240">
        <f t="shared" si="36"/>
        <v>14.514933947871492</v>
      </c>
      <c r="BA24" s="240">
        <f t="shared" si="37"/>
        <v>16.505670829974935</v>
      </c>
      <c r="BB24" s="240">
        <f t="shared" si="38"/>
        <v>16.326800735939536</v>
      </c>
      <c r="BC24" s="240">
        <f t="shared" si="39"/>
        <v>14.465361954764546</v>
      </c>
      <c r="BD24" s="227">
        <f t="shared" si="40"/>
        <v>-8.0554399900471196E-2</v>
      </c>
      <c r="BE24" s="227">
        <f t="shared" si="41"/>
        <v>-9.7206726073284955E-2</v>
      </c>
      <c r="BF24" s="227">
        <f t="shared" si="42"/>
        <v>-4.9571993106946266E-2</v>
      </c>
      <c r="BG24" s="240">
        <f t="shared" si="43"/>
        <v>48.178012831855185</v>
      </c>
      <c r="BH24" s="240">
        <f t="shared" si="44"/>
        <v>47.365696664761167</v>
      </c>
      <c r="BI24" s="240">
        <f t="shared" si="45"/>
        <v>49.529312106382676</v>
      </c>
      <c r="BJ24" s="240">
        <f t="shared" si="46"/>
        <v>49.120033703056258</v>
      </c>
      <c r="BK24" s="240">
        <f t="shared" si="47"/>
        <v>48.240304439350581</v>
      </c>
      <c r="BL24" s="240">
        <f t="shared" si="48"/>
        <v>53.729638065852114</v>
      </c>
      <c r="BM24" s="228">
        <f t="shared" si="49"/>
        <v>0.94202087120107336</v>
      </c>
      <c r="BN24" s="228">
        <f t="shared" si="50"/>
        <v>0.87460777458941408</v>
      </c>
      <c r="BO24" s="228">
        <f t="shared" si="51"/>
        <v>4.2003259594694384</v>
      </c>
    </row>
    <row r="25" spans="1:67" x14ac:dyDescent="0.25">
      <c r="A25" s="203">
        <v>2040</v>
      </c>
      <c r="B25" s="219">
        <f>'Network Model Data'!B25</f>
        <v>3692347</v>
      </c>
      <c r="C25" s="219">
        <f>'Network Model Data'!C25</f>
        <v>14663109</v>
      </c>
      <c r="D25" s="219">
        <f>'Network Model Data'!D25</f>
        <v>5595213</v>
      </c>
      <c r="E25" s="219">
        <f>'Network Model Data'!E25</f>
        <v>3692347</v>
      </c>
      <c r="F25" s="219">
        <f>'Network Model Data'!F25</f>
        <v>14663109</v>
      </c>
      <c r="G25" s="219">
        <f>'Network Model Data'!G25</f>
        <v>5595213</v>
      </c>
      <c r="H25" s="219">
        <f>'Network Model Data'!H25</f>
        <v>61223841</v>
      </c>
      <c r="I25" s="219">
        <f>'Network Model Data'!I25</f>
        <v>240784153</v>
      </c>
      <c r="J25" s="219">
        <f>'Network Model Data'!J25</f>
        <v>81139500</v>
      </c>
      <c r="K25" s="219">
        <f>'Network Model Data'!K25</f>
        <v>60921423</v>
      </c>
      <c r="L25" s="219">
        <f>'Network Model Data'!L25</f>
        <v>239322792</v>
      </c>
      <c r="M25" s="219">
        <f>'Network Model Data'!M25</f>
        <v>80870860</v>
      </c>
      <c r="N25" s="219">
        <f>'Network Model Data'!N25</f>
        <v>1270922.7</v>
      </c>
      <c r="O25" s="219">
        <f>'Network Model Data'!O25</f>
        <v>5083690.8</v>
      </c>
      <c r="P25" s="219">
        <f>'Network Model Data'!P25</f>
        <v>1643619.3333333333</v>
      </c>
      <c r="Q25" s="219">
        <f>'Network Model Data'!Q25</f>
        <v>1240793.1666666667</v>
      </c>
      <c r="R25" s="219">
        <f>'Network Model Data'!R25</f>
        <v>4963172.666666667</v>
      </c>
      <c r="S25" s="219">
        <f>'Network Model Data'!S25</f>
        <v>1508711</v>
      </c>
      <c r="T25" s="246">
        <f>'Network Model Data'!T25</f>
        <v>0.125</v>
      </c>
      <c r="U25" s="246">
        <f>'Network Model Data'!U25</f>
        <v>0.125</v>
      </c>
      <c r="V25" s="246">
        <f>'Network Model Data'!V25</f>
        <v>0.125</v>
      </c>
      <c r="W25" s="246">
        <f>'Network Model Data'!W25</f>
        <v>0.125</v>
      </c>
      <c r="X25" s="246">
        <f>'Network Model Data'!X25</f>
        <v>0.125</v>
      </c>
      <c r="Y25" s="246">
        <f>'Network Model Data'!Y25</f>
        <v>0.125</v>
      </c>
      <c r="Z25" s="220">
        <f>IFERROR((-1.5*T25^4+2.05*T25^3+0.16*T25^2+0.04*T25+0.025)*N25,0)*'Fixed Factors'!$I$13</f>
        <v>63840.222044692382</v>
      </c>
      <c r="AA25" s="220">
        <f>IFERROR((-1.5*U25^4+2.05*U25^3+0.16*U25^2+0.04*U25+0.025)*O25,0)*'Fixed Factors'!$I$14</f>
        <v>255360.88817876953</v>
      </c>
      <c r="AB25" s="102">
        <f>IFERROR((-1.5*V25^4+2.05*V25^3+0.16*V25^2+0.04*V25+0.025)*P25,0)*'Fixed Factors'!$I$15</f>
        <v>59396.614677734375</v>
      </c>
      <c r="AC25" s="103">
        <f>IFERROR((-1.5*(W25)^4+2.05*(W25)^3+0.16*(W25)^2+0.04*W25+0.025)*Q25,0)*'Fixed Factors'!$I$13</f>
        <v>62326.773509936531</v>
      </c>
      <c r="AD25" s="103">
        <f>IFERROR((-1.5*(X25)^4+2.05*(X25)^3+0.16*(X25)^2+0.04*X25+0.025)*R25,0)*'Fixed Factors'!$I$14</f>
        <v>249307.09403974612</v>
      </c>
      <c r="AE25" s="103">
        <f>IFERROR((-1.5*(Y25)^4+2.05*(Y25)^3+0.16*(Y25)^2+0.04*Y25+0.025)*S25,0)*'Fixed Factors'!$I$15</f>
        <v>54521.338432617194</v>
      </c>
      <c r="AF25" s="224">
        <f>H25/$AF$1*'Network Crash Rates'!$D$4+'Network TDC'!I25/$AF$1*'Network Crash Rates'!$D$5+'Network TDC'!J25/$AF$1*'Network Crash Rates'!$D$6</f>
        <v>2.9793549133439994</v>
      </c>
      <c r="AG25" s="224">
        <f>H25/'Network TDC'!$AF$1*'Network Crash Rates'!$E$4+I25/'Network TDC'!$AF$1*'Network Crash Rates'!$E$5+J25/'Network TDC'!$AF$1*'Network Crash Rates'!$E$6</f>
        <v>134.07595201790198</v>
      </c>
      <c r="AH25" s="224">
        <f>H25/$AF$1*'Network Crash Rates'!$F$4+I25/$AF$1*'Network Crash Rates'!$F$5+J25/$AF$1*'Network Crash Rates'!$F$6</f>
        <v>485.65285880728999</v>
      </c>
      <c r="AI25" s="224">
        <f>K25/$AF$1*'Network Crash Rates'!$D$7+L25/$AF$1*'Network Crash Rates'!$D$8+M25/$AF$1*'Network Crash Rates'!$D$9</f>
        <v>2.9635508232000003</v>
      </c>
      <c r="AJ25" s="225">
        <f>K25/$AF$1*'Network Crash Rates'!$E$7+L25/$AF$1*'Network Crash Rates'!$E$8+M25/$AF$1*'Network Crash Rates'!$E$9</f>
        <v>133.364741539975</v>
      </c>
      <c r="AK25" s="225">
        <f>K25/$AF$1*'Network Crash Rates'!$F$7+L25/$AF$1*'Network Crash Rates'!$F$8+M25/$AF$1*'Network Crash Rates'!$F$9</f>
        <v>483.07669659012498</v>
      </c>
      <c r="AL25" s="238">
        <f t="shared" si="52"/>
        <v>0</v>
      </c>
      <c r="AM25" s="238">
        <f t="shared" si="53"/>
        <v>0</v>
      </c>
      <c r="AN25" s="238">
        <f t="shared" si="54"/>
        <v>0</v>
      </c>
      <c r="AO25" s="106">
        <f t="shared" si="25"/>
        <v>-302418</v>
      </c>
      <c r="AP25" s="106">
        <f t="shared" si="26"/>
        <v>-1461361</v>
      </c>
      <c r="AQ25" s="106">
        <f t="shared" si="27"/>
        <v>-268640</v>
      </c>
      <c r="AR25" s="106">
        <f t="shared" si="28"/>
        <v>-30129.533333333209</v>
      </c>
      <c r="AS25" s="106">
        <f t="shared" si="29"/>
        <v>-120518.13333333284</v>
      </c>
      <c r="AT25" s="106">
        <f t="shared" si="30"/>
        <v>-134908.33333333326</v>
      </c>
      <c r="AU25" s="239">
        <f t="shared" si="31"/>
        <v>0</v>
      </c>
      <c r="AV25" s="239">
        <f t="shared" si="32"/>
        <v>0</v>
      </c>
      <c r="AW25" s="239">
        <f t="shared" si="33"/>
        <v>0</v>
      </c>
      <c r="AX25" s="240">
        <f t="shared" si="34"/>
        <v>16.581280415952239</v>
      </c>
      <c r="AY25" s="240">
        <f t="shared" si="35"/>
        <v>16.421084573537577</v>
      </c>
      <c r="AZ25" s="240">
        <f t="shared" si="36"/>
        <v>14.501592700760453</v>
      </c>
      <c r="BA25" s="240">
        <f t="shared" si="37"/>
        <v>16.499376412888605</v>
      </c>
      <c r="BB25" s="240">
        <f t="shared" si="38"/>
        <v>16.321422148604366</v>
      </c>
      <c r="BC25" s="240">
        <f t="shared" si="39"/>
        <v>14.453580230100266</v>
      </c>
      <c r="BD25" s="227">
        <f t="shared" si="40"/>
        <v>-8.1904003063634434E-2</v>
      </c>
      <c r="BE25" s="227">
        <f t="shared" si="41"/>
        <v>-9.9662424933210758E-2</v>
      </c>
      <c r="BF25" s="227">
        <f t="shared" si="42"/>
        <v>-4.8012470660186324E-2</v>
      </c>
      <c r="BG25" s="240">
        <f t="shared" si="43"/>
        <v>48.172749609397961</v>
      </c>
      <c r="BH25" s="240">
        <f t="shared" si="44"/>
        <v>47.364043658988862</v>
      </c>
      <c r="BI25" s="240">
        <f t="shared" si="45"/>
        <v>49.366357741391056</v>
      </c>
      <c r="BJ25" s="240">
        <f t="shared" si="46"/>
        <v>49.098773781663041</v>
      </c>
      <c r="BK25" s="240">
        <f t="shared" si="47"/>
        <v>48.219719133957184</v>
      </c>
      <c r="BL25" s="240">
        <f t="shared" si="48"/>
        <v>53.602618394112589</v>
      </c>
      <c r="BM25" s="228">
        <f t="shared" si="49"/>
        <v>0.92602417226508038</v>
      </c>
      <c r="BN25" s="228">
        <f t="shared" si="50"/>
        <v>0.85567547496832219</v>
      </c>
      <c r="BO25" s="228">
        <f t="shared" si="51"/>
        <v>4.2362606527215334</v>
      </c>
    </row>
    <row r="26" spans="1:67" x14ac:dyDescent="0.25">
      <c r="A26" s="203">
        <v>2041</v>
      </c>
      <c r="B26" s="219">
        <f>'Network Model Data'!B26</f>
        <v>3694010.8465643087</v>
      </c>
      <c r="C26" s="219">
        <f>'Network Model Data'!C26</f>
        <v>14669044.049182605</v>
      </c>
      <c r="D26" s="219">
        <f>'Network Model Data'!D26</f>
        <v>5702654.6990315234</v>
      </c>
      <c r="E26" s="219">
        <f>'Network Model Data'!E26</f>
        <v>3694010.8465643087</v>
      </c>
      <c r="F26" s="219">
        <f>'Network Model Data'!F26</f>
        <v>14669044.049182605</v>
      </c>
      <c r="G26" s="219">
        <f>'Network Model Data'!G26</f>
        <v>5702654.6990315234</v>
      </c>
      <c r="H26" s="219">
        <f>'Network Model Data'!H26</f>
        <v>61233168.955845296</v>
      </c>
      <c r="I26" s="219">
        <f>'Network Model Data'!I26</f>
        <v>240838744.59517953</v>
      </c>
      <c r="J26" s="219">
        <f>'Network Model Data'!J26</f>
        <v>82621565.161509544</v>
      </c>
      <c r="K26" s="219">
        <f>'Network Model Data'!K26</f>
        <v>60925632.652753703</v>
      </c>
      <c r="L26" s="219">
        <f>'Network Model Data'!L26</f>
        <v>239340787.70048925</v>
      </c>
      <c r="M26" s="219">
        <f>'Network Model Data'!M26</f>
        <v>82356644.831937671</v>
      </c>
      <c r="N26" s="219">
        <f>'Network Model Data'!N26</f>
        <v>1271255.2142122467</v>
      </c>
      <c r="O26" s="219">
        <f>'Network Model Data'!O26</f>
        <v>5085020.8568489868</v>
      </c>
      <c r="P26" s="219">
        <f>'Network Model Data'!P26</f>
        <v>1679165.6520025691</v>
      </c>
      <c r="Q26" s="219">
        <f>'Network Model Data'!Q26</f>
        <v>1241416.2095326884</v>
      </c>
      <c r="R26" s="219">
        <f>'Network Model Data'!R26</f>
        <v>4965664.8381307535</v>
      </c>
      <c r="S26" s="219">
        <f>'Network Model Data'!S26</f>
        <v>1540070.3189024683</v>
      </c>
      <c r="T26" s="246">
        <f>'Network Model Data'!T26</f>
        <v>0.125</v>
      </c>
      <c r="U26" s="246">
        <f>'Network Model Data'!U26</f>
        <v>0.125</v>
      </c>
      <c r="V26" s="246">
        <f>'Network Model Data'!V26</f>
        <v>0.125</v>
      </c>
      <c r="W26" s="246">
        <f>'Network Model Data'!W26</f>
        <v>0.125</v>
      </c>
      <c r="X26" s="246">
        <f>'Network Model Data'!X26</f>
        <v>0.125</v>
      </c>
      <c r="Y26" s="246">
        <f>'Network Model Data'!Y26</f>
        <v>0.125</v>
      </c>
      <c r="Z26" s="220">
        <f>IFERROR((-1.5*T26^4+2.05*T26^3+0.16*T26^2+0.04*T26+0.025)*N26,0)*'Fixed Factors'!$I$13</f>
        <v>63856.924697924434</v>
      </c>
      <c r="AA26" s="220">
        <f>IFERROR((-1.5*U26^4+2.05*U26^3+0.16*U26^2+0.04*U26+0.025)*O26,0)*'Fixed Factors'!$I$14</f>
        <v>255427.69879169774</v>
      </c>
      <c r="AB26" s="102">
        <f>IFERROR((-1.5*V26^4+2.05*V26^3+0.16*V26^2+0.04*V26+0.025)*P26,0)*'Fixed Factors'!$I$15</f>
        <v>60681.17671128425</v>
      </c>
      <c r="AC26" s="103">
        <f>IFERROR((-1.5*(W26)^4+2.05*(W26)^3+0.16*(W26)^2+0.04*W26+0.025)*Q26,0)*'Fixed Factors'!$I$13</f>
        <v>62358.069823166428</v>
      </c>
      <c r="AD26" s="103">
        <f>IFERROR((-1.5*(X26)^4+2.05*(X26)^3+0.16*(X26)^2+0.04*X26+0.025)*R26,0)*'Fixed Factors'!$I$14</f>
        <v>249432.27929266571</v>
      </c>
      <c r="AE26" s="103">
        <f>IFERROR((-1.5*(Y26)^4+2.05*(Y26)^3+0.16*(Y26)^2+0.04*Y26+0.025)*S26,0)*'Fixed Factors'!$I$15</f>
        <v>55654.591944322114</v>
      </c>
      <c r="AF26" s="224">
        <f>H26/$AF$1*'Network Crash Rates'!$D$4+'Network TDC'!I26/$AF$1*'Network Crash Rates'!$D$5+'Network TDC'!J26/$AF$1*'Network Crash Rates'!$D$6</f>
        <v>2.9913764904686668</v>
      </c>
      <c r="AG26" s="224">
        <f>H26/'Network TDC'!$AF$1*'Network Crash Rates'!$E$4+I26/'Network TDC'!$AF$1*'Network Crash Rates'!$E$5+J26/'Network TDC'!$AF$1*'Network Crash Rates'!$E$6</f>
        <v>134.61694308631328</v>
      </c>
      <c r="AH26" s="224">
        <f>H26/$AF$1*'Network Crash Rates'!$F$4+I26/$AF$1*'Network Crash Rates'!$F$5+J26/$AF$1*'Network Crash Rates'!$F$6</f>
        <v>487.61244853989228</v>
      </c>
      <c r="AI26" s="224">
        <f>K26/$AF$1*'Network Crash Rates'!$D$7+L26/$AF$1*'Network Crash Rates'!$D$8+M26/$AF$1*'Network Crash Rates'!$D$9</f>
        <v>2.9752769548799645</v>
      </c>
      <c r="AJ26" s="225">
        <f>K26/$AF$1*'Network Crash Rates'!$E$7+L26/$AF$1*'Network Crash Rates'!$E$8+M26/$AF$1*'Network Crash Rates'!$E$9</f>
        <v>133.8924370694458</v>
      </c>
      <c r="AK26" s="225">
        <f>K26/$AF$1*'Network Crash Rates'!$F$7+L26/$AF$1*'Network Crash Rates'!$F$8+M26/$AF$1*'Network Crash Rates'!$F$9</f>
        <v>484.98812692949798</v>
      </c>
      <c r="AL26" s="238">
        <f t="shared" si="52"/>
        <v>0</v>
      </c>
      <c r="AM26" s="238">
        <f t="shared" si="53"/>
        <v>0</v>
      </c>
      <c r="AN26" s="238">
        <f t="shared" si="54"/>
        <v>0</v>
      </c>
      <c r="AO26" s="106">
        <f t="shared" si="25"/>
        <v>-307536.30309159309</v>
      </c>
      <c r="AP26" s="106">
        <f t="shared" si="26"/>
        <v>-1497956.8946902752</v>
      </c>
      <c r="AQ26" s="106">
        <f t="shared" si="27"/>
        <v>-264920.32957187295</v>
      </c>
      <c r="AR26" s="106">
        <f t="shared" si="28"/>
        <v>-29839.004679558333</v>
      </c>
      <c r="AS26" s="106">
        <f t="shared" si="29"/>
        <v>-119356.01871823333</v>
      </c>
      <c r="AT26" s="106">
        <f t="shared" si="30"/>
        <v>-139095.33310010075</v>
      </c>
      <c r="AU26" s="239">
        <f t="shared" si="31"/>
        <v>0</v>
      </c>
      <c r="AV26" s="239">
        <f t="shared" si="32"/>
        <v>0</v>
      </c>
      <c r="AW26" s="239">
        <f t="shared" si="33"/>
        <v>0</v>
      </c>
      <c r="AX26" s="240">
        <f t="shared" si="34"/>
        <v>16.576337076215268</v>
      </c>
      <c r="AY26" s="240">
        <f t="shared" si="35"/>
        <v>16.418162205232431</v>
      </c>
      <c r="AZ26" s="240">
        <f t="shared" si="36"/>
        <v>14.488263716114723</v>
      </c>
      <c r="BA26" s="240">
        <f t="shared" si="37"/>
        <v>16.493084396170318</v>
      </c>
      <c r="BB26" s="240">
        <f t="shared" si="38"/>
        <v>16.316045333153518</v>
      </c>
      <c r="BC26" s="240">
        <f t="shared" si="39"/>
        <v>14.441808101396044</v>
      </c>
      <c r="BD26" s="227">
        <f t="shared" si="40"/>
        <v>-8.3252680044950012E-2</v>
      </c>
      <c r="BE26" s="227">
        <f t="shared" si="41"/>
        <v>-0.10211687207891273</v>
      </c>
      <c r="BF26" s="227">
        <f t="shared" si="42"/>
        <v>-4.6455614718679428E-2</v>
      </c>
      <c r="BG26" s="240">
        <f t="shared" si="43"/>
        <v>48.167486961923217</v>
      </c>
      <c r="BH26" s="240">
        <f t="shared" si="44"/>
        <v>47.362390710904386</v>
      </c>
      <c r="BI26" s="240">
        <f t="shared" si="45"/>
        <v>49.203939505894049</v>
      </c>
      <c r="BJ26" s="240">
        <f t="shared" si="46"/>
        <v>49.077523061897345</v>
      </c>
      <c r="BK26" s="240">
        <f t="shared" si="47"/>
        <v>48.199142612811812</v>
      </c>
      <c r="BL26" s="240">
        <f t="shared" si="48"/>
        <v>53.475899003513788</v>
      </c>
      <c r="BM26" s="228">
        <f t="shared" si="49"/>
        <v>0.91003609997412838</v>
      </c>
      <c r="BN26" s="228">
        <f t="shared" si="50"/>
        <v>0.83675190190742654</v>
      </c>
      <c r="BO26" s="228">
        <f t="shared" si="51"/>
        <v>4.2719594976197399</v>
      </c>
    </row>
    <row r="27" spans="1:67" x14ac:dyDescent="0.25">
      <c r="A27" s="203">
        <v>2042</v>
      </c>
      <c r="B27" s="219">
        <f>'Network Model Data'!B27</f>
        <v>3695675.4428916718</v>
      </c>
      <c r="C27" s="219">
        <f>'Network Model Data'!C27</f>
        <v>14674981.500639454</v>
      </c>
      <c r="D27" s="219">
        <f>'Network Model Data'!D27</f>
        <v>5812159.5400186367</v>
      </c>
      <c r="E27" s="219">
        <f>'Network Model Data'!E27</f>
        <v>3695675.4428916718</v>
      </c>
      <c r="F27" s="219">
        <f>'Network Model Data'!F27</f>
        <v>14674981.500639454</v>
      </c>
      <c r="G27" s="219">
        <f>'Network Model Data'!G27</f>
        <v>5812159.5400186367</v>
      </c>
      <c r="H27" s="219">
        <f>'Network Model Data'!H27</f>
        <v>61242498.332881406</v>
      </c>
      <c r="I27" s="219">
        <f>'Network Model Data'!I27</f>
        <v>240893348.56759498</v>
      </c>
      <c r="J27" s="219">
        <f>'Network Model Data'!J27</f>
        <v>84130701.196551219</v>
      </c>
      <c r="K27" s="219">
        <f>'Network Model Data'!K27</f>
        <v>60929842.596393198</v>
      </c>
      <c r="L27" s="219">
        <f>'Network Model Data'!L27</f>
        <v>239358784.75415191</v>
      </c>
      <c r="M27" s="219">
        <f>'Network Model Data'!M27</f>
        <v>83869726.969317824</v>
      </c>
      <c r="N27" s="219">
        <f>'Network Model Data'!N27</f>
        <v>1271587.8154208949</v>
      </c>
      <c r="O27" s="219">
        <f>'Network Model Data'!O27</f>
        <v>5086351.2616835795</v>
      </c>
      <c r="P27" s="219">
        <f>'Network Model Data'!P27</f>
        <v>1715480.7257876091</v>
      </c>
      <c r="Q27" s="219">
        <f>'Network Model Data'!Q27</f>
        <v>1242039.565248928</v>
      </c>
      <c r="R27" s="219">
        <f>'Network Model Data'!R27</f>
        <v>4968158.2609957121</v>
      </c>
      <c r="S27" s="219">
        <f>'Network Model Data'!S27</f>
        <v>1572081.4570612598</v>
      </c>
      <c r="T27" s="246">
        <f>'Network Model Data'!T27</f>
        <v>0.125</v>
      </c>
      <c r="U27" s="246">
        <f>'Network Model Data'!U27</f>
        <v>0.125</v>
      </c>
      <c r="V27" s="246">
        <f>'Network Model Data'!V27</f>
        <v>0.125</v>
      </c>
      <c r="W27" s="246">
        <f>'Network Model Data'!W27</f>
        <v>0.125</v>
      </c>
      <c r="X27" s="246">
        <f>'Network Model Data'!X27</f>
        <v>0.125</v>
      </c>
      <c r="Y27" s="246">
        <f>'Network Model Data'!Y27</f>
        <v>0.125</v>
      </c>
      <c r="Z27" s="220">
        <f>IFERROR((-1.5*T27^4+2.05*T27^3+0.16*T27^2+0.04*T27+0.025)*N27,0)*'Fixed Factors'!$I$13</f>
        <v>63873.631721107224</v>
      </c>
      <c r="AA27" s="220">
        <f>IFERROR((-1.5*U27^4+2.05*U27^3+0.16*U27^2+0.04*U27+0.025)*O27,0)*'Fixed Factors'!$I$14</f>
        <v>255494.52688442889</v>
      </c>
      <c r="AB27" s="102">
        <f>IFERROR((-1.5*V27^4+2.05*V27^3+0.16*V27^2+0.04*V27+0.025)*P27,0)*'Fixed Factors'!$I$15</f>
        <v>61993.519782978983</v>
      </c>
      <c r="AC27" s="103">
        <f>IFERROR((-1.5*(W27)^4+2.05*(W27)^3+0.16*(W27)^2+0.04*W27+0.025)*Q27,0)*'Fixed Factors'!$I$13</f>
        <v>62389.381851299659</v>
      </c>
      <c r="AD27" s="103">
        <f>IFERROR((-1.5*(X27)^4+2.05*(X27)^3+0.16*(X27)^2+0.04*X27+0.025)*R27,0)*'Fixed Factors'!$I$14</f>
        <v>249557.52740519863</v>
      </c>
      <c r="AE27" s="103">
        <f>IFERROR((-1.5*(Y27)^4+2.05*(Y27)^3+0.16*(Y27)^2+0.04*Y27+0.025)*S27,0)*'Fixed Factors'!$I$15</f>
        <v>56811.40070171086</v>
      </c>
      <c r="AF27" s="224">
        <f>H27/$AF$1*'Network Crash Rates'!$D$4+'Network TDC'!I27/$AF$1*'Network Crash Rates'!$D$5+'Network TDC'!J27/$AF$1*'Network Crash Rates'!$D$6</f>
        <v>3.0036086780024864</v>
      </c>
      <c r="AG27" s="224">
        <f>H27/'Network TDC'!$AF$1*'Network Crash Rates'!$E$4+I27/'Network TDC'!$AF$1*'Network Crash Rates'!$E$5+J27/'Network TDC'!$AF$1*'Network Crash Rates'!$E$6</f>
        <v>135.16741197523714</v>
      </c>
      <c r="AH27" s="224">
        <f>H27/$AF$1*'Network Crash Rates'!$F$4+I27/$AF$1*'Network Crash Rates'!$F$5+J27/$AF$1*'Network Crash Rates'!$F$6</f>
        <v>489.60636904216591</v>
      </c>
      <c r="AI27" s="224">
        <f>K27/$AF$1*'Network Crash Rates'!$D$7+L27/$AF$1*'Network Crash Rates'!$D$8+M27/$AF$1*'Network Crash Rates'!$D$9</f>
        <v>2.9872153631912539</v>
      </c>
      <c r="AJ27" s="225">
        <f>K27/$AF$1*'Network Crash Rates'!$E$7+L27/$AF$1*'Network Crash Rates'!$E$8+M27/$AF$1*'Network Crash Rates'!$E$9</f>
        <v>134.42968540221261</v>
      </c>
      <c r="AK27" s="225">
        <f>K27/$AF$1*'Network Crash Rates'!$F$7+L27/$AF$1*'Network Crash Rates'!$F$8+M27/$AF$1*'Network Crash Rates'!$F$9</f>
        <v>486.93415964282747</v>
      </c>
      <c r="AL27" s="238">
        <f t="shared" si="52"/>
        <v>0</v>
      </c>
      <c r="AM27" s="238">
        <f t="shared" si="53"/>
        <v>0</v>
      </c>
      <c r="AN27" s="238">
        <f t="shared" si="54"/>
        <v>0</v>
      </c>
      <c r="AO27" s="106">
        <f t="shared" si="25"/>
        <v>-312655.73648820817</v>
      </c>
      <c r="AP27" s="106">
        <f t="shared" si="26"/>
        <v>-1534563.8134430647</v>
      </c>
      <c r="AQ27" s="106">
        <f t="shared" si="27"/>
        <v>-260974.22723339498</v>
      </c>
      <c r="AR27" s="106">
        <f t="shared" si="28"/>
        <v>-29548.250171966851</v>
      </c>
      <c r="AS27" s="106">
        <f t="shared" si="29"/>
        <v>-118193.0006878674</v>
      </c>
      <c r="AT27" s="106">
        <f t="shared" si="30"/>
        <v>-143399.26872634934</v>
      </c>
      <c r="AU27" s="239">
        <f t="shared" si="31"/>
        <v>0</v>
      </c>
      <c r="AV27" s="239">
        <f t="shared" si="32"/>
        <v>0</v>
      </c>
      <c r="AW27" s="239">
        <f t="shared" si="33"/>
        <v>0</v>
      </c>
      <c r="AX27" s="240">
        <f t="shared" si="34"/>
        <v>16.571395210225056</v>
      </c>
      <c r="AY27" s="240">
        <f t="shared" si="35"/>
        <v>16.415240357004755</v>
      </c>
      <c r="AZ27" s="240">
        <f t="shared" si="36"/>
        <v>14.474946982663427</v>
      </c>
      <c r="BA27" s="240">
        <f t="shared" si="37"/>
        <v>16.486794778904827</v>
      </c>
      <c r="BB27" s="240">
        <f t="shared" si="38"/>
        <v>16.310670289003227</v>
      </c>
      <c r="BC27" s="240">
        <f t="shared" si="39"/>
        <v>14.430045560836222</v>
      </c>
      <c r="BD27" s="227">
        <f t="shared" si="40"/>
        <v>-8.4600431320229319E-2</v>
      </c>
      <c r="BE27" s="227">
        <f t="shared" si="41"/>
        <v>-0.10457006800152868</v>
      </c>
      <c r="BF27" s="227">
        <f t="shared" si="42"/>
        <v>-4.4901421827205468E-2</v>
      </c>
      <c r="BG27" s="240">
        <f t="shared" si="43"/>
        <v>48.162224889368076</v>
      </c>
      <c r="BH27" s="240">
        <f t="shared" si="44"/>
        <v>47.360737820505818</v>
      </c>
      <c r="BI27" s="240">
        <f t="shared" si="45"/>
        <v>49.042055635993954</v>
      </c>
      <c r="BJ27" s="240">
        <f t="shared" si="46"/>
        <v>49.056281539776641</v>
      </c>
      <c r="BK27" s="240">
        <f t="shared" si="47"/>
        <v>48.178574872165996</v>
      </c>
      <c r="BL27" s="240">
        <f t="shared" si="48"/>
        <v>53.349479184175408</v>
      </c>
      <c r="BM27" s="228">
        <f t="shared" si="49"/>
        <v>0.89405665040856519</v>
      </c>
      <c r="BN27" s="228">
        <f t="shared" si="50"/>
        <v>0.81783705166017739</v>
      </c>
      <c r="BO27" s="228">
        <f t="shared" si="51"/>
        <v>4.307423548181454</v>
      </c>
    </row>
    <row r="28" spans="1:67" x14ac:dyDescent="0.25">
      <c r="A28" s="203">
        <v>2043</v>
      </c>
      <c r="B28" s="219">
        <f>'Network Model Data'!B28</f>
        <v>3697340.7893199548</v>
      </c>
      <c r="C28" s="219">
        <f>'Network Model Data'!C28</f>
        <v>14680921.355342874</v>
      </c>
      <c r="D28" s="219">
        <f>'Network Model Data'!D28</f>
        <v>5923767.1403051428</v>
      </c>
      <c r="E28" s="219">
        <f>'Network Model Data'!E28</f>
        <v>3697340.7893199548</v>
      </c>
      <c r="F28" s="219">
        <f>'Network Model Data'!F28</f>
        <v>14680921.355342874</v>
      </c>
      <c r="G28" s="219">
        <f>'Network Model Data'!G28</f>
        <v>5923767.1403051428</v>
      </c>
      <c r="H28" s="219">
        <f>'Network Model Data'!H28</f>
        <v>61251829.131324857</v>
      </c>
      <c r="I28" s="219">
        <f>'Network Model Data'!I28</f>
        <v>240947964.92005253</v>
      </c>
      <c r="J28" s="219">
        <f>'Network Model Data'!J28</f>
        <v>85667402.572043762</v>
      </c>
      <c r="K28" s="219">
        <f>'Network Model Data'!K28</f>
        <v>60934052.830938585</v>
      </c>
      <c r="L28" s="219">
        <f>'Network Model Data'!L28</f>
        <v>239376783.16108972</v>
      </c>
      <c r="M28" s="219">
        <f>'Network Model Data'!M28</f>
        <v>85410607.926806912</v>
      </c>
      <c r="N28" s="219">
        <f>'Network Model Data'!N28</f>
        <v>1271920.5036487055</v>
      </c>
      <c r="O28" s="219">
        <f>'Network Model Data'!O28</f>
        <v>5087682.0145948222</v>
      </c>
      <c r="P28" s="219">
        <f>'Network Model Data'!P28</f>
        <v>1752581.1804446555</v>
      </c>
      <c r="Q28" s="219">
        <f>'Network Model Data'!Q28</f>
        <v>1242663.2339724782</v>
      </c>
      <c r="R28" s="219">
        <f>'Network Model Data'!R28</f>
        <v>4970652.9358899128</v>
      </c>
      <c r="S28" s="219">
        <f>'Network Model Data'!S28</f>
        <v>1604757.962868297</v>
      </c>
      <c r="T28" s="246">
        <f>'Network Model Data'!T28</f>
        <v>0.125</v>
      </c>
      <c r="U28" s="246">
        <f>'Network Model Data'!U28</f>
        <v>0.125</v>
      </c>
      <c r="V28" s="246">
        <f>'Network Model Data'!V28</f>
        <v>0.125</v>
      </c>
      <c r="W28" s="246">
        <f>'Network Model Data'!W28</f>
        <v>0.125</v>
      </c>
      <c r="X28" s="246">
        <f>'Network Model Data'!X28</f>
        <v>0.125</v>
      </c>
      <c r="Y28" s="246">
        <f>'Network Model Data'!Y28</f>
        <v>0.125</v>
      </c>
      <c r="Z28" s="102">
        <f>IFERROR((-1.5*T28^4+2.05*T28^3+0.16*T28^2+0.04*T28+0.025)*N28,0)*'Fixed Factors'!$I$13</f>
        <v>63890.343115384065</v>
      </c>
      <c r="AA28" s="102">
        <f>IFERROR((-1.5*U28^4+2.05*U28^3+0.16*U28^2+0.04*U28+0.025)*O28,0)*'Fixed Factors'!$I$14</f>
        <v>255561.37246153626</v>
      </c>
      <c r="AB28" s="102">
        <f>IFERROR((-1.5*V28^4+2.05*V28^3+0.16*V28^2+0.04*V28+0.025)*P28,0)*'Fixed Factors'!$I$15</f>
        <v>63334.244709330545</v>
      </c>
      <c r="AC28" s="103">
        <f>IFERROR((-1.5*(W28)^4+2.05*(W28)^3+0.16*(W28)^2+0.04*W28+0.025)*Q28,0)*'Fixed Factors'!$I$13</f>
        <v>62420.709602227209</v>
      </c>
      <c r="AD28" s="103">
        <f>IFERROR((-1.5*(X28)^4+2.05*(X28)^3+0.16*(X28)^2+0.04*X28+0.025)*R28,0)*'Fixed Factors'!$I$14</f>
        <v>249682.83840890884</v>
      </c>
      <c r="AE28" s="103">
        <f>IFERROR((-1.5*(Y28)^4+2.05*(Y28)^3+0.16*(Y28)^2+0.04*Y28+0.025)*S28,0)*'Fixed Factors'!$I$15</f>
        <v>57992.25431244271</v>
      </c>
      <c r="AF28" s="224">
        <f>H28/$AF$1*'Network Crash Rates'!$D$4+'Network TDC'!I28/$AF$1*'Network Crash Rates'!$D$5+'Network TDC'!J28/$AF$1*'Network Crash Rates'!$D$6</f>
        <v>3.0160553209437229</v>
      </c>
      <c r="AG28" s="224">
        <f>H28/'Network TDC'!$AF$1*'Network Crash Rates'!$E$4+I28/'Network TDC'!$AF$1*'Network Crash Rates'!$E$5+J28/'Network TDC'!$AF$1*'Network Crash Rates'!$E$6</f>
        <v>135.72753171602363</v>
      </c>
      <c r="AH28" s="224">
        <f>H28/$AF$1*'Network Crash Rates'!$F$4+I28/$AF$1*'Network Crash Rates'!$F$5+J28/$AF$1*'Network Crash Rates'!$F$6</f>
        <v>491.63524707206818</v>
      </c>
      <c r="AI28" s="224">
        <f>K28/$AF$1*'Network Crash Rates'!$D$7+L28/$AF$1*'Network Crash Rates'!$D$8+M28/$AF$1*'Network Crash Rates'!$D$9</f>
        <v>2.9993699479128622</v>
      </c>
      <c r="AJ28" s="225">
        <f>K28/$AF$1*'Network Crash Rates'!$E$7+L28/$AF$1*'Network Crash Rates'!$E$8+M28/$AF$1*'Network Crash Rates'!$E$9</f>
        <v>134.97666203484974</v>
      </c>
      <c r="AK28" s="225">
        <f>K28/$AF$1*'Network Crash Rates'!$F$7+L28/$AF$1*'Network Crash Rates'!$F$8+M28/$AF$1*'Network Crash Rates'!$F$9</f>
        <v>488.91543041766079</v>
      </c>
      <c r="AL28" s="238">
        <f t="shared" si="52"/>
        <v>0</v>
      </c>
      <c r="AM28" s="238">
        <f t="shared" si="53"/>
        <v>0</v>
      </c>
      <c r="AN28" s="238">
        <f t="shared" si="54"/>
        <v>0</v>
      </c>
      <c r="AO28" s="106">
        <f t="shared" si="25"/>
        <v>-317776.30038627237</v>
      </c>
      <c r="AP28" s="106">
        <f t="shared" si="26"/>
        <v>-1571181.75896281</v>
      </c>
      <c r="AQ28" s="106">
        <f t="shared" si="27"/>
        <v>-256794.64523684978</v>
      </c>
      <c r="AR28" s="106">
        <f t="shared" si="28"/>
        <v>-29257.269676227355</v>
      </c>
      <c r="AS28" s="106">
        <f t="shared" si="29"/>
        <v>-117029.07870490942</v>
      </c>
      <c r="AT28" s="106">
        <f t="shared" si="30"/>
        <v>-147823.21757635847</v>
      </c>
      <c r="AU28" s="239">
        <f t="shared" si="31"/>
        <v>0</v>
      </c>
      <c r="AV28" s="239">
        <f t="shared" si="32"/>
        <v>0</v>
      </c>
      <c r="AW28" s="239">
        <f t="shared" si="33"/>
        <v>0</v>
      </c>
      <c r="AX28" s="240">
        <f t="shared" si="34"/>
        <v>16.566454817542205</v>
      </c>
      <c r="AY28" s="240">
        <f t="shared" si="35"/>
        <v>16.412319028762017</v>
      </c>
      <c r="AZ28" s="240">
        <f t="shared" si="36"/>
        <v>14.461642489146001</v>
      </c>
      <c r="BA28" s="240">
        <f t="shared" si="37"/>
        <v>16.480507560177074</v>
      </c>
      <c r="BB28" s="240">
        <f t="shared" si="38"/>
        <v>16.305297015569977</v>
      </c>
      <c r="BC28" s="240">
        <f t="shared" si="39"/>
        <v>14.418292600611453</v>
      </c>
      <c r="BD28" s="227">
        <f t="shared" si="40"/>
        <v>-8.594725736513098E-2</v>
      </c>
      <c r="BE28" s="227">
        <f t="shared" si="41"/>
        <v>-0.10702201319204008</v>
      </c>
      <c r="BF28" s="227">
        <f t="shared" si="42"/>
        <v>-4.3349888534548242E-2</v>
      </c>
      <c r="BG28" s="240">
        <f t="shared" si="43"/>
        <v>48.156963391669748</v>
      </c>
      <c r="BH28" s="240">
        <f t="shared" si="44"/>
        <v>47.359084987791121</v>
      </c>
      <c r="BI28" s="240">
        <f t="shared" si="45"/>
        <v>48.880704373596373</v>
      </c>
      <c r="BJ28" s="240">
        <f t="shared" si="46"/>
        <v>49.035049211320043</v>
      </c>
      <c r="BK28" s="240">
        <f t="shared" si="47"/>
        <v>48.15801590827288</v>
      </c>
      <c r="BL28" s="240">
        <f t="shared" si="48"/>
        <v>53.223358227895325</v>
      </c>
      <c r="BM28" s="228">
        <f t="shared" si="49"/>
        <v>0.87808581965029475</v>
      </c>
      <c r="BN28" s="228">
        <f t="shared" si="50"/>
        <v>0.79893092048175873</v>
      </c>
      <c r="BO28" s="228">
        <f t="shared" si="51"/>
        <v>4.3426538542989519</v>
      </c>
    </row>
    <row r="29" spans="1:67" x14ac:dyDescent="0.25">
      <c r="A29" s="203">
        <v>2044</v>
      </c>
      <c r="B29" s="219">
        <f>'Network Model Data'!B29</f>
        <v>3699006.8861871674</v>
      </c>
      <c r="C29" s="219">
        <f>'Network Model Data'!C29</f>
        <v>14686863.614265606</v>
      </c>
      <c r="D29" s="219">
        <f>'Network Model Data'!D29</f>
        <v>6037517.8779842034</v>
      </c>
      <c r="E29" s="219">
        <f>'Network Model Data'!E29</f>
        <v>3699006.8861871674</v>
      </c>
      <c r="F29" s="219">
        <f>'Network Model Data'!F29</f>
        <v>14686863.614265606</v>
      </c>
      <c r="G29" s="219">
        <f>'Network Model Data'!G29</f>
        <v>6037517.8779842034</v>
      </c>
      <c r="H29" s="219">
        <f>'Network Model Data'!H29</f>
        <v>61261161.351392217</v>
      </c>
      <c r="I29" s="219">
        <f>'Network Model Data'!I29</f>
        <v>241002593.65535909</v>
      </c>
      <c r="J29" s="219">
        <f>'Network Model Data'!J29</f>
        <v>87232172.786662266</v>
      </c>
      <c r="K29" s="219">
        <f>'Network Model Data'!K29</f>
        <v>60938263.356409959</v>
      </c>
      <c r="L29" s="219">
        <f>'Network Model Data'!L29</f>
        <v>239394782.92140442</v>
      </c>
      <c r="M29" s="219">
        <f>'Network Model Data'!M29</f>
        <v>86979798.433056325</v>
      </c>
      <c r="N29" s="219">
        <f>'Network Model Data'!N29</f>
        <v>1272253.2789184456</v>
      </c>
      <c r="O29" s="219">
        <f>'Network Model Data'!O29</f>
        <v>5089013.1156737823</v>
      </c>
      <c r="P29" s="219">
        <f>'Network Model Data'!P29</f>
        <v>1790484.0012927458</v>
      </c>
      <c r="Q29" s="219">
        <f>'Network Model Data'!Q29</f>
        <v>1243287.2158605102</v>
      </c>
      <c r="R29" s="219">
        <f>'Network Model Data'!R29</f>
        <v>4973148.863442041</v>
      </c>
      <c r="S29" s="219">
        <f>'Network Model Data'!S29</f>
        <v>1638113.6663256604</v>
      </c>
      <c r="T29" s="246">
        <f>'Network Model Data'!T29</f>
        <v>0.125</v>
      </c>
      <c r="U29" s="246">
        <f>'Network Model Data'!U29</f>
        <v>0.125</v>
      </c>
      <c r="V29" s="246">
        <f>'Network Model Data'!V29</f>
        <v>0.125</v>
      </c>
      <c r="W29" s="246">
        <f>'Network Model Data'!W29</f>
        <v>0.125</v>
      </c>
      <c r="X29" s="246">
        <f>'Network Model Data'!X29</f>
        <v>0.125</v>
      </c>
      <c r="Y29" s="246">
        <f>'Network Model Data'!Y29</f>
        <v>0.125</v>
      </c>
      <c r="Z29" s="102">
        <f>IFERROR((-1.5*T29^4+2.05*T29^3+0.16*T29^2+0.04*T29+0.025)*N29,0)*'Fixed Factors'!$I$13</f>
        <v>63907.058881898578</v>
      </c>
      <c r="AA29" s="102">
        <f>IFERROR((-1.5*U29^4+2.05*U29^3+0.16*U29^2+0.04*U29+0.025)*O29,0)*'Fixed Factors'!$I$14</f>
        <v>255628.23552759431</v>
      </c>
      <c r="AB29" s="102">
        <f>IFERROR((-1.5*V29^4+2.05*V29^3+0.16*V29^2+0.04*V29+0.025)*P29,0)*'Fixed Factors'!$I$15</f>
        <v>64703.965300623109</v>
      </c>
      <c r="AC29" s="103">
        <f>IFERROR((-1.5*(W29)^4+2.05*(W29)^3+0.16*(W29)^2+0.04*W29+0.025)*Q29,0)*'Fixed Factors'!$I$13</f>
        <v>62452.053083844017</v>
      </c>
      <c r="AD29" s="103">
        <f>IFERROR((-1.5*(X29)^4+2.05*(X29)^3+0.16*(X29)^2+0.04*X29+0.025)*R29,0)*'Fixed Factors'!$I$14</f>
        <v>249808.21233537607</v>
      </c>
      <c r="AE29" s="103">
        <f>IFERROR((-1.5*(Y29)^4+2.05*(Y29)^3+0.16*(Y29)^2+0.04*Y29+0.025)*S29,0)*'Fixed Factors'!$I$15</f>
        <v>59197.652560919014</v>
      </c>
      <c r="AF29" s="224">
        <f>H29/$AF$1*'Network Crash Rates'!$D$4+'Network TDC'!I29/$AF$1*'Network Crash Rates'!$D$5+'Network TDC'!J29/$AF$1*'Network Crash Rates'!$D$6</f>
        <v>3.0287203345215836</v>
      </c>
      <c r="AG29" s="224">
        <f>H29/'Network TDC'!$AF$1*'Network Crash Rates'!$E$4+I29/'Network TDC'!$AF$1*'Network Crash Rates'!$E$5+J29/'Network TDC'!$AF$1*'Network Crash Rates'!$E$6</f>
        <v>136.29747850053258</v>
      </c>
      <c r="AH29" s="224">
        <f>H29/$AF$1*'Network Crash Rates'!$F$4+I29/$AF$1*'Network Crash Rates'!$F$5+J29/$AF$1*'Network Crash Rates'!$F$6</f>
        <v>493.69972083562448</v>
      </c>
      <c r="AI29" s="224">
        <f>K29/$AF$1*'Network Crash Rates'!$D$7+L29/$AF$1*'Network Crash Rates'!$D$8+M29/$AF$1*'Network Crash Rates'!$D$9</f>
        <v>3.0117446804717303</v>
      </c>
      <c r="AJ29" s="225">
        <f>K29/$AF$1*'Network Crash Rates'!$E$7+L29/$AF$1*'Network Crash Rates'!$E$8+M29/$AF$1*'Network Crash Rates'!$E$9</f>
        <v>135.5335456882091</v>
      </c>
      <c r="AK29" s="225">
        <f>K29/$AF$1*'Network Crash Rates'!$F$7+L29/$AF$1*'Network Crash Rates'!$F$8+M29/$AF$1*'Network Crash Rates'!$F$9</f>
        <v>490.93258662059355</v>
      </c>
      <c r="AL29" s="238">
        <f t="shared" si="52"/>
        <v>0</v>
      </c>
      <c r="AM29" s="238">
        <f t="shared" si="53"/>
        <v>0</v>
      </c>
      <c r="AN29" s="238">
        <f t="shared" si="54"/>
        <v>0</v>
      </c>
      <c r="AO29" s="106">
        <f t="shared" si="25"/>
        <v>-322897.99498225749</v>
      </c>
      <c r="AP29" s="106">
        <f t="shared" si="26"/>
        <v>-1607810.733954668</v>
      </c>
      <c r="AQ29" s="106">
        <f t="shared" si="27"/>
        <v>-252374.35360594094</v>
      </c>
      <c r="AR29" s="106">
        <f t="shared" si="28"/>
        <v>-28966.063057935331</v>
      </c>
      <c r="AS29" s="106">
        <f t="shared" si="29"/>
        <v>-115864.25223174132</v>
      </c>
      <c r="AT29" s="106">
        <f t="shared" si="30"/>
        <v>-152370.33496708539</v>
      </c>
      <c r="AU29" s="239">
        <f t="shared" si="31"/>
        <v>0</v>
      </c>
      <c r="AV29" s="239">
        <f t="shared" si="32"/>
        <v>0</v>
      </c>
      <c r="AW29" s="239">
        <f t="shared" si="33"/>
        <v>0</v>
      </c>
      <c r="AX29" s="240">
        <f t="shared" si="34"/>
        <v>16.561515897727485</v>
      </c>
      <c r="AY29" s="240">
        <f t="shared" si="35"/>
        <v>16.409398220411681</v>
      </c>
      <c r="AZ29" s="240">
        <f t="shared" si="36"/>
        <v>14.448350224312247</v>
      </c>
      <c r="BA29" s="240">
        <f t="shared" si="37"/>
        <v>16.474222739072381</v>
      </c>
      <c r="BB29" s="240">
        <f t="shared" si="38"/>
        <v>16.299925512270441</v>
      </c>
      <c r="BC29" s="240">
        <f t="shared" si="39"/>
        <v>14.406549212918769</v>
      </c>
      <c r="BD29" s="227">
        <f t="shared" si="40"/>
        <v>-8.7293158655104008E-2</v>
      </c>
      <c r="BE29" s="227">
        <f t="shared" si="41"/>
        <v>-0.1094727081412401</v>
      </c>
      <c r="BF29" s="227">
        <f t="shared" si="42"/>
        <v>-4.1801011393477694E-2</v>
      </c>
      <c r="BG29" s="240">
        <f t="shared" si="43"/>
        <v>48.151702468765421</v>
      </c>
      <c r="BH29" s="240">
        <f t="shared" si="44"/>
        <v>47.357432212758305</v>
      </c>
      <c r="BI29" s="240">
        <f t="shared" si="45"/>
        <v>48.719883966391123</v>
      </c>
      <c r="BJ29" s="240">
        <f t="shared" si="46"/>
        <v>49.013826072548376</v>
      </c>
      <c r="BK29" s="240">
        <f t="shared" si="47"/>
        <v>48.137465717387208</v>
      </c>
      <c r="BL29" s="240">
        <f t="shared" si="48"/>
        <v>53.097535428145655</v>
      </c>
      <c r="BM29" s="228">
        <f t="shared" si="49"/>
        <v>0.86212360378295472</v>
      </c>
      <c r="BN29" s="228">
        <f t="shared" si="50"/>
        <v>0.78003350462890353</v>
      </c>
      <c r="BO29" s="228">
        <f t="shared" si="51"/>
        <v>4.3776514617545317</v>
      </c>
    </row>
    <row r="30" spans="1:67" x14ac:dyDescent="0.25">
      <c r="G30" s="97"/>
      <c r="H30" s="97"/>
      <c r="I30" s="110"/>
    </row>
  </sheetData>
  <mergeCells count="41">
    <mergeCell ref="BM2:BO2"/>
    <mergeCell ref="AX3:AZ3"/>
    <mergeCell ref="BA3:BC3"/>
    <mergeCell ref="BD3:BF3"/>
    <mergeCell ref="BG3:BI3"/>
    <mergeCell ref="BJ3:BL3"/>
    <mergeCell ref="BM3:BO3"/>
    <mergeCell ref="AX2:AZ2"/>
    <mergeCell ref="BA2:BC2"/>
    <mergeCell ref="BD2:BF2"/>
    <mergeCell ref="BG2:BI2"/>
    <mergeCell ref="BJ2:BL2"/>
    <mergeCell ref="AL2:AW2"/>
    <mergeCell ref="AL3:AN3"/>
    <mergeCell ref="AO3:AQ3"/>
    <mergeCell ref="AR3:AT3"/>
    <mergeCell ref="AU3:AW3"/>
    <mergeCell ref="K3:M3"/>
    <mergeCell ref="B3:D3"/>
    <mergeCell ref="E3:G3"/>
    <mergeCell ref="E2:G2"/>
    <mergeCell ref="B2:D2"/>
    <mergeCell ref="H3:J3"/>
    <mergeCell ref="H2:J2"/>
    <mergeCell ref="K2:M2"/>
    <mergeCell ref="N2:P2"/>
    <mergeCell ref="Q2:S2"/>
    <mergeCell ref="N3:P3"/>
    <mergeCell ref="Q3:S3"/>
    <mergeCell ref="T3:V3"/>
    <mergeCell ref="T2:V2"/>
    <mergeCell ref="W2:Y2"/>
    <mergeCell ref="W3:Y3"/>
    <mergeCell ref="AF2:AH2"/>
    <mergeCell ref="AI2:AK2"/>
    <mergeCell ref="AF3:AH3"/>
    <mergeCell ref="AI3:AK3"/>
    <mergeCell ref="Z2:AB2"/>
    <mergeCell ref="AC2:AE2"/>
    <mergeCell ref="Z3:AB3"/>
    <mergeCell ref="AC3:AE3"/>
  </mergeCells>
  <conditionalFormatting sqref="AO5:AQ29">
    <cfRule type="cellIs" dxfId="2" priority="2" operator="lessThan">
      <formula>0</formula>
    </cfRule>
  </conditionalFormatting>
  <conditionalFormatting sqref="AR5:AT29">
    <cfRule type="cellIs" dxfId="1" priority="1" operator="lessThan">
      <formula>0</formula>
    </cfRule>
  </conditionalFormatting>
  <pageMargins left="0.7" right="0.7" top="0.75" bottom="0.75" header="0.3" footer="0.3"/>
  <pageSetup scale="68" fitToWidth="0" orientation="landscape" r:id="rId1"/>
  <colBreaks count="4" manualBreakCount="4">
    <brk id="7" max="1048575" man="1"/>
    <brk id="10" max="1048575" man="1"/>
    <brk id="13" max="1048575" man="1"/>
    <brk id="2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pageSetUpPr fitToPage="1"/>
  </sheetPr>
  <dimension ref="A1:J14"/>
  <sheetViews>
    <sheetView zoomScale="90" zoomScaleNormal="90" workbookViewId="0">
      <selection activeCell="G19" sqref="G19"/>
    </sheetView>
  </sheetViews>
  <sheetFormatPr defaultColWidth="9.140625" defaultRowHeight="15" x14ac:dyDescent="0.25"/>
  <cols>
    <col min="1" max="1" width="13.85546875" style="39" customWidth="1"/>
    <col min="2" max="2" width="25" style="39" customWidth="1"/>
    <col min="3" max="3" width="19" style="39" customWidth="1"/>
    <col min="4" max="4" width="19.28515625" style="39" customWidth="1"/>
    <col min="5" max="5" width="16.7109375" style="39" customWidth="1"/>
    <col min="6" max="6" width="18.140625" style="39" bestFit="1" customWidth="1"/>
    <col min="7" max="7" width="22.42578125" style="39" customWidth="1"/>
    <col min="8" max="9" width="9.140625" style="39"/>
    <col min="10" max="10" width="11.28515625" style="39" customWidth="1"/>
    <col min="11" max="11" width="9.140625" style="39"/>
    <col min="12" max="12" width="14" style="39" bestFit="1" customWidth="1"/>
    <col min="13" max="16384" width="9.140625" style="39"/>
  </cols>
  <sheetData>
    <row r="1" spans="1:10" x14ac:dyDescent="0.25">
      <c r="A1" s="361" t="s">
        <v>198</v>
      </c>
      <c r="B1" s="361"/>
      <c r="C1" s="361"/>
      <c r="D1" s="361"/>
      <c r="E1" s="361"/>
      <c r="F1" s="361"/>
      <c r="G1" s="361"/>
    </row>
    <row r="2" spans="1:10" ht="16.5" customHeight="1" x14ac:dyDescent="0.25">
      <c r="A2" s="362" t="s">
        <v>125</v>
      </c>
      <c r="B2" s="362"/>
      <c r="C2" s="362"/>
      <c r="D2" s="362"/>
      <c r="E2" s="362"/>
      <c r="F2" s="362"/>
      <c r="G2" s="362"/>
    </row>
    <row r="3" spans="1:10" x14ac:dyDescent="0.25">
      <c r="A3" s="40"/>
      <c r="B3" s="41"/>
      <c r="C3" s="41"/>
      <c r="D3" s="43" t="s">
        <v>41</v>
      </c>
      <c r="E3" s="43" t="s">
        <v>42</v>
      </c>
      <c r="F3" s="44" t="s">
        <v>43</v>
      </c>
      <c r="G3" s="41"/>
    </row>
    <row r="4" spans="1:10" ht="22.5" customHeight="1" x14ac:dyDescent="0.25">
      <c r="A4" s="42" t="s">
        <v>7</v>
      </c>
      <c r="B4" s="42" t="s">
        <v>12</v>
      </c>
      <c r="C4" s="42" t="s">
        <v>13</v>
      </c>
      <c r="D4" s="217">
        <v>0.77759999999999996</v>
      </c>
      <c r="E4" s="217">
        <v>34.993299999999998</v>
      </c>
      <c r="F4" s="217">
        <v>126.7535</v>
      </c>
      <c r="G4" s="363" t="s">
        <v>322</v>
      </c>
    </row>
    <row r="5" spans="1:10" ht="22.5" customHeight="1" x14ac:dyDescent="0.25">
      <c r="A5" s="42" t="s">
        <v>7</v>
      </c>
      <c r="B5" s="42" t="s">
        <v>12</v>
      </c>
      <c r="C5" s="42" t="s">
        <v>14</v>
      </c>
      <c r="D5" s="217">
        <v>0.77759999999999996</v>
      </c>
      <c r="E5" s="217">
        <v>34.993299999999998</v>
      </c>
      <c r="F5" s="217">
        <v>126.7535</v>
      </c>
      <c r="G5" s="364"/>
      <c r="H5" s="342" t="s">
        <v>99</v>
      </c>
      <c r="I5" s="342"/>
      <c r="J5" s="342"/>
    </row>
    <row r="6" spans="1:10" ht="30" x14ac:dyDescent="0.25">
      <c r="A6" s="42" t="s">
        <v>7</v>
      </c>
      <c r="B6" s="42" t="s">
        <v>15</v>
      </c>
      <c r="C6" s="42" t="s">
        <v>16</v>
      </c>
      <c r="D6" s="217">
        <v>0.77759999999999996</v>
      </c>
      <c r="E6" s="217">
        <v>34.993299999999998</v>
      </c>
      <c r="F6" s="217">
        <v>126.7535</v>
      </c>
      <c r="G6" s="364"/>
      <c r="H6" s="43" t="s">
        <v>41</v>
      </c>
      <c r="I6" s="43" t="s">
        <v>42</v>
      </c>
      <c r="J6" s="44" t="s">
        <v>43</v>
      </c>
    </row>
    <row r="7" spans="1:10" ht="22.5" customHeight="1" x14ac:dyDescent="0.25">
      <c r="A7" s="42" t="s">
        <v>44</v>
      </c>
      <c r="B7" s="42" t="s">
        <v>12</v>
      </c>
      <c r="C7" s="42" t="s">
        <v>13</v>
      </c>
      <c r="D7" s="45">
        <v>0.77759999999999996</v>
      </c>
      <c r="E7" s="45">
        <v>34.993299999999998</v>
      </c>
      <c r="F7" s="45">
        <v>126.7535</v>
      </c>
      <c r="G7" s="364"/>
      <c r="H7" s="46">
        <f>D7/D4-1</f>
        <v>0</v>
      </c>
      <c r="I7" s="46">
        <f t="shared" ref="I7:J9" si="0">E7/E4-1</f>
        <v>0</v>
      </c>
      <c r="J7" s="46">
        <f t="shared" si="0"/>
        <v>0</v>
      </c>
    </row>
    <row r="8" spans="1:10" ht="21" customHeight="1" x14ac:dyDescent="0.25">
      <c r="A8" s="42" t="s">
        <v>44</v>
      </c>
      <c r="B8" s="42" t="s">
        <v>12</v>
      </c>
      <c r="C8" s="42" t="s">
        <v>14</v>
      </c>
      <c r="D8" s="45">
        <v>0.77759999999999996</v>
      </c>
      <c r="E8" s="45">
        <v>34.993299999999998</v>
      </c>
      <c r="F8" s="45">
        <v>126.7535</v>
      </c>
      <c r="G8" s="364"/>
      <c r="H8" s="46">
        <f t="shared" ref="H8:H9" si="1">D8/D5-1</f>
        <v>0</v>
      </c>
      <c r="I8" s="46">
        <f t="shared" si="0"/>
        <v>0</v>
      </c>
      <c r="J8" s="46">
        <f t="shared" si="0"/>
        <v>0</v>
      </c>
    </row>
    <row r="9" spans="1:10" ht="19.5" customHeight="1" x14ac:dyDescent="0.25">
      <c r="A9" s="42" t="s">
        <v>44</v>
      </c>
      <c r="B9" s="42" t="s">
        <v>15</v>
      </c>
      <c r="C9" s="42" t="s">
        <v>16</v>
      </c>
      <c r="D9" s="45">
        <v>0.77759999999999996</v>
      </c>
      <c r="E9" s="45">
        <v>34.993299999999998</v>
      </c>
      <c r="F9" s="45">
        <v>126.7535</v>
      </c>
      <c r="G9" s="365"/>
      <c r="H9" s="46">
        <f t="shared" si="1"/>
        <v>0</v>
      </c>
      <c r="I9" s="46">
        <f t="shared" si="0"/>
        <v>0</v>
      </c>
      <c r="J9" s="46">
        <f t="shared" si="0"/>
        <v>0</v>
      </c>
    </row>
    <row r="10" spans="1:10" ht="7.5" customHeight="1" x14ac:dyDescent="0.25">
      <c r="A10" s="47"/>
      <c r="B10" s="47"/>
      <c r="C10" s="47"/>
      <c r="D10" s="47"/>
      <c r="E10" s="47"/>
      <c r="F10" s="47"/>
      <c r="G10" s="47"/>
    </row>
    <row r="11" spans="1:10" x14ac:dyDescent="0.25">
      <c r="A11" s="360" t="s">
        <v>346</v>
      </c>
      <c r="B11" s="360"/>
      <c r="C11" s="360"/>
      <c r="D11" s="360"/>
      <c r="E11" s="360"/>
      <c r="F11" s="360"/>
    </row>
    <row r="12" spans="1:10" x14ac:dyDescent="0.25">
      <c r="B12" s="48"/>
    </row>
    <row r="13" spans="1:10" x14ac:dyDescent="0.25">
      <c r="B13" s="48"/>
    </row>
    <row r="14" spans="1:10" x14ac:dyDescent="0.25">
      <c r="B14" s="48"/>
    </row>
  </sheetData>
  <mergeCells count="5">
    <mergeCell ref="H5:J5"/>
    <mergeCell ref="A11:F11"/>
    <mergeCell ref="A1:G1"/>
    <mergeCell ref="A2:G2"/>
    <mergeCell ref="G4:G9"/>
  </mergeCells>
  <pageMargins left="0.7" right="0.7" top="0.75" bottom="0.75" header="0.3" footer="0.3"/>
  <pageSetup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94FD5-ED01-40EF-899D-FC89922F9F96}">
  <sheetPr>
    <tabColor rgb="FFC00000"/>
  </sheetPr>
  <dimension ref="B3:AC51"/>
  <sheetViews>
    <sheetView topLeftCell="A25" zoomScaleNormal="100" workbookViewId="0">
      <selection activeCell="AC9" sqref="AC9"/>
    </sheetView>
  </sheetViews>
  <sheetFormatPr defaultRowHeight="15" x14ac:dyDescent="0.25"/>
  <cols>
    <col min="1" max="1" width="2.85546875" style="160" customWidth="1"/>
    <col min="2" max="2" width="7.5703125" style="160" customWidth="1"/>
    <col min="3" max="3" width="19.42578125" style="160" bestFit="1" customWidth="1"/>
    <col min="4" max="4" width="15.85546875" style="160" customWidth="1"/>
    <col min="5" max="5" width="15.7109375" style="160" customWidth="1"/>
    <col min="6" max="6" width="3.85546875" style="160" customWidth="1"/>
    <col min="7" max="7" width="12.85546875" style="160" customWidth="1"/>
    <col min="8" max="9" width="9.140625" style="160"/>
    <col min="10" max="10" width="5.85546875" style="160" customWidth="1"/>
    <col min="11" max="11" width="9.140625" style="160"/>
    <col min="12" max="12" width="3" style="160" bestFit="1" customWidth="1"/>
    <col min="13" max="13" width="20.5703125" style="160" bestFit="1" customWidth="1"/>
    <col min="14" max="14" width="5" style="160" bestFit="1" customWidth="1"/>
    <col min="15" max="15" width="4.85546875" style="160" customWidth="1"/>
    <col min="16" max="16" width="8.28515625" style="160" customWidth="1"/>
    <col min="17" max="17" width="9.140625" style="160"/>
    <col min="18" max="18" width="10.42578125" style="160" customWidth="1"/>
    <col min="19" max="19" width="10.5703125" style="160" customWidth="1"/>
    <col min="20" max="20" width="4.28515625" style="160" customWidth="1"/>
    <col min="21" max="21" width="7.140625" style="160" customWidth="1"/>
    <col min="22" max="22" width="19.85546875" style="160" bestFit="1" customWidth="1"/>
    <col min="23" max="24" width="12.140625" style="164" bestFit="1" customWidth="1"/>
    <col min="25" max="25" width="5.140625" style="164" bestFit="1" customWidth="1"/>
    <col min="26" max="26" width="7.28515625" style="164" bestFit="1" customWidth="1"/>
    <col min="27" max="27" width="9.140625" style="160"/>
    <col min="28" max="28" width="25" style="160" bestFit="1" customWidth="1"/>
    <col min="29" max="29" width="12" style="160" bestFit="1" customWidth="1"/>
    <col min="30" max="16384" width="9.140625" style="160"/>
  </cols>
  <sheetData>
    <row r="3" spans="2:29" x14ac:dyDescent="0.25">
      <c r="B3" s="159" t="s">
        <v>195</v>
      </c>
      <c r="F3" s="163"/>
      <c r="P3" s="161"/>
      <c r="V3" s="159" t="s">
        <v>196</v>
      </c>
    </row>
    <row r="4" spans="2:29" ht="15" customHeight="1" x14ac:dyDescent="0.25">
      <c r="B4" s="366" t="s">
        <v>133</v>
      </c>
      <c r="C4" s="366"/>
      <c r="D4" s="366"/>
      <c r="E4" s="366"/>
      <c r="G4" s="366" t="s">
        <v>134</v>
      </c>
      <c r="H4" s="366"/>
      <c r="I4" s="366"/>
      <c r="K4" s="367" t="s">
        <v>135</v>
      </c>
      <c r="L4" s="367"/>
      <c r="M4" s="367"/>
      <c r="N4" s="367"/>
      <c r="P4" s="366" t="s">
        <v>136</v>
      </c>
      <c r="Q4" s="366"/>
      <c r="R4" s="366"/>
      <c r="S4" s="366"/>
      <c r="W4" s="368" t="s">
        <v>137</v>
      </c>
      <c r="X4" s="368"/>
      <c r="Y4" s="368" t="s">
        <v>138</v>
      </c>
      <c r="Z4" s="368"/>
      <c r="AB4" s="370" t="s">
        <v>139</v>
      </c>
      <c r="AC4" s="370"/>
    </row>
    <row r="5" spans="2:29" ht="30" x14ac:dyDescent="0.25">
      <c r="B5" s="162" t="s">
        <v>140</v>
      </c>
      <c r="C5" s="162" t="s">
        <v>141</v>
      </c>
      <c r="D5" s="170" t="s">
        <v>142</v>
      </c>
      <c r="E5" s="170" t="s">
        <v>143</v>
      </c>
      <c r="G5" s="371" t="s">
        <v>146</v>
      </c>
      <c r="H5" s="162" t="s">
        <v>137</v>
      </c>
      <c r="I5" s="249">
        <f>'Fixed Factors'!J15</f>
        <v>24.05</v>
      </c>
      <c r="J5" s="160" t="s">
        <v>227</v>
      </c>
      <c r="K5" s="367"/>
      <c r="L5" s="367"/>
      <c r="M5" s="367"/>
      <c r="N5" s="367"/>
      <c r="R5" s="159" t="s">
        <v>7</v>
      </c>
      <c r="S5" s="159" t="s">
        <v>144</v>
      </c>
      <c r="U5" s="172" t="s">
        <v>140</v>
      </c>
      <c r="V5" s="172" t="s">
        <v>141</v>
      </c>
      <c r="W5" s="173" t="s">
        <v>7</v>
      </c>
      <c r="X5" s="173" t="s">
        <v>144</v>
      </c>
      <c r="Y5" s="173" t="s">
        <v>7</v>
      </c>
      <c r="Z5" s="173" t="s">
        <v>144</v>
      </c>
      <c r="AB5" s="370"/>
      <c r="AC5" s="370"/>
    </row>
    <row r="6" spans="2:29" x14ac:dyDescent="0.25">
      <c r="B6" s="162">
        <v>1</v>
      </c>
      <c r="C6" s="162" t="s">
        <v>145</v>
      </c>
      <c r="D6" s="168">
        <v>5.7098397519439502E-4</v>
      </c>
      <c r="E6" s="162"/>
      <c r="G6" s="371"/>
      <c r="H6" s="162" t="s">
        <v>138</v>
      </c>
      <c r="I6" s="162">
        <v>3000</v>
      </c>
      <c r="K6" s="162" t="s">
        <v>147</v>
      </c>
      <c r="L6" s="162">
        <v>1</v>
      </c>
      <c r="M6" s="162" t="s">
        <v>145</v>
      </c>
      <c r="N6" s="162">
        <v>1.5</v>
      </c>
      <c r="P6" s="371" t="s">
        <v>148</v>
      </c>
      <c r="Q6" s="162" t="s">
        <v>137</v>
      </c>
      <c r="R6" s="171">
        <f>'Network TDC'!P10</f>
        <v>1192385.6128128795</v>
      </c>
      <c r="S6" s="171">
        <f>'Network TDC'!S10</f>
        <v>1108124.7220314636</v>
      </c>
      <c r="U6" s="162">
        <v>1</v>
      </c>
      <c r="V6" s="162" t="s">
        <v>145</v>
      </c>
      <c r="W6" s="165">
        <f>R$6*$I$5*$I$7*$D6*$N6</f>
        <v>41004.678415656308</v>
      </c>
      <c r="X6" s="165">
        <f t="shared" ref="X6:X48" si="0">S$6*$I$5*$I$7*$D6*$N6</f>
        <v>38107.049752259394</v>
      </c>
      <c r="Y6" s="165">
        <f t="shared" ref="Y6:Y48" si="1">R$7*$I$6*$I$8*$E6*$N6</f>
        <v>0</v>
      </c>
      <c r="Z6" s="165">
        <f t="shared" ref="Z6:Z48" si="2">S$7*$I$6*$I$8*$E6*$N6</f>
        <v>0</v>
      </c>
      <c r="AB6" s="160" t="s">
        <v>149</v>
      </c>
      <c r="AC6" s="166">
        <f>SUM(W6:W48)-SUM(X6:X48)</f>
        <v>13943088.779148996</v>
      </c>
    </row>
    <row r="7" spans="2:29" x14ac:dyDescent="0.25">
      <c r="B7" s="162">
        <v>2</v>
      </c>
      <c r="C7" s="162" t="s">
        <v>150</v>
      </c>
      <c r="D7" s="168">
        <v>9.0975302737206199E-4</v>
      </c>
      <c r="E7" s="162"/>
      <c r="G7" s="371" t="s">
        <v>153</v>
      </c>
      <c r="H7" s="162" t="s">
        <v>137</v>
      </c>
      <c r="I7" s="162">
        <v>1.6695</v>
      </c>
      <c r="K7" s="162" t="s">
        <v>147</v>
      </c>
      <c r="L7" s="162">
        <v>2</v>
      </c>
      <c r="M7" s="162" t="s">
        <v>150</v>
      </c>
      <c r="N7" s="162">
        <v>0.53</v>
      </c>
      <c r="P7" s="371"/>
      <c r="Q7" s="162" t="s">
        <v>138</v>
      </c>
      <c r="R7" s="162"/>
      <c r="S7" s="162"/>
      <c r="U7" s="162">
        <v>2</v>
      </c>
      <c r="V7" s="162" t="s">
        <v>150</v>
      </c>
      <c r="W7" s="165">
        <f t="shared" ref="W7:W48" si="3">R$6*$I$5*$I$7*$D7*$N7</f>
        <v>23084.347875730607</v>
      </c>
      <c r="X7" s="165">
        <f t="shared" si="0"/>
        <v>21453.073819573077</v>
      </c>
      <c r="Y7" s="165">
        <f t="shared" si="1"/>
        <v>0</v>
      </c>
      <c r="Z7" s="165">
        <f t="shared" si="2"/>
        <v>0</v>
      </c>
      <c r="AB7" s="160" t="s">
        <v>151</v>
      </c>
      <c r="AC7" s="166">
        <f>SUM(Y6:Y48)-SUM(Z6:Z48)</f>
        <v>0</v>
      </c>
    </row>
    <row r="8" spans="2:29" x14ac:dyDescent="0.25">
      <c r="B8" s="162">
        <v>3</v>
      </c>
      <c r="C8" s="162" t="s">
        <v>152</v>
      </c>
      <c r="D8" s="168">
        <v>2.75844009593129E-4</v>
      </c>
      <c r="E8" s="162"/>
      <c r="G8" s="371"/>
      <c r="H8" s="162" t="s">
        <v>138</v>
      </c>
      <c r="I8" s="162">
        <v>0.55649999999999999</v>
      </c>
      <c r="K8" s="162" t="s">
        <v>147</v>
      </c>
      <c r="L8" s="162">
        <v>3</v>
      </c>
      <c r="M8" s="162" t="s">
        <v>152</v>
      </c>
      <c r="N8" s="162">
        <v>0.83</v>
      </c>
      <c r="U8" s="162">
        <v>3</v>
      </c>
      <c r="V8" s="162" t="s">
        <v>152</v>
      </c>
      <c r="W8" s="165">
        <f t="shared" si="3"/>
        <v>10961.244891904951</v>
      </c>
      <c r="X8" s="165">
        <f t="shared" si="0"/>
        <v>10186.659683277399</v>
      </c>
      <c r="Y8" s="165">
        <f t="shared" si="1"/>
        <v>0</v>
      </c>
      <c r="Z8" s="165">
        <f t="shared" si="2"/>
        <v>0</v>
      </c>
    </row>
    <row r="9" spans="2:29" x14ac:dyDescent="0.25">
      <c r="B9" s="162">
        <v>4</v>
      </c>
      <c r="C9" s="162" t="s">
        <v>154</v>
      </c>
      <c r="D9" s="168">
        <v>5.6251097703352603E-4</v>
      </c>
      <c r="E9" s="162"/>
      <c r="K9" s="162" t="s">
        <v>147</v>
      </c>
      <c r="L9" s="162">
        <v>4</v>
      </c>
      <c r="M9" s="162" t="s">
        <v>154</v>
      </c>
      <c r="N9" s="162">
        <v>0.68</v>
      </c>
      <c r="P9" s="161" t="s">
        <v>228</v>
      </c>
      <c r="U9" s="162">
        <v>4</v>
      </c>
      <c r="V9" s="162" t="s">
        <v>154</v>
      </c>
      <c r="W9" s="165">
        <f t="shared" si="3"/>
        <v>18312.943094727907</v>
      </c>
      <c r="X9" s="165">
        <f t="shared" si="0"/>
        <v>17018.844204729554</v>
      </c>
      <c r="Y9" s="165">
        <f t="shared" si="1"/>
        <v>0</v>
      </c>
      <c r="Z9" s="165">
        <f t="shared" si="2"/>
        <v>0</v>
      </c>
    </row>
    <row r="10" spans="2:29" x14ac:dyDescent="0.25">
      <c r="B10" s="162">
        <v>5</v>
      </c>
      <c r="C10" s="162" t="s">
        <v>155</v>
      </c>
      <c r="D10" s="168">
        <v>6.4392603235319297E-5</v>
      </c>
      <c r="E10" s="162"/>
      <c r="K10" s="162" t="s">
        <v>147</v>
      </c>
      <c r="L10" s="162">
        <v>5</v>
      </c>
      <c r="M10" s="162" t="s">
        <v>155</v>
      </c>
      <c r="N10" s="162">
        <v>1.87</v>
      </c>
      <c r="U10" s="162">
        <v>5</v>
      </c>
      <c r="V10" s="162" t="s">
        <v>155</v>
      </c>
      <c r="W10" s="165">
        <f t="shared" si="3"/>
        <v>5764.9536613818982</v>
      </c>
      <c r="X10" s="165">
        <f t="shared" si="0"/>
        <v>5357.5685624660382</v>
      </c>
      <c r="Y10" s="165">
        <f t="shared" si="1"/>
        <v>0</v>
      </c>
      <c r="Z10" s="165">
        <f t="shared" si="2"/>
        <v>0</v>
      </c>
    </row>
    <row r="11" spans="2:29" x14ac:dyDescent="0.25">
      <c r="B11" s="162">
        <v>6</v>
      </c>
      <c r="C11" s="162" t="s">
        <v>156</v>
      </c>
      <c r="D11" s="168">
        <v>4.3185500544495901E-5</v>
      </c>
      <c r="E11" s="162"/>
      <c r="G11" s="250"/>
      <c r="K11" s="162" t="s">
        <v>147</v>
      </c>
      <c r="L11" s="162">
        <v>6</v>
      </c>
      <c r="M11" s="162" t="s">
        <v>156</v>
      </c>
      <c r="N11" s="162">
        <v>0.91</v>
      </c>
      <c r="U11" s="162">
        <v>6</v>
      </c>
      <c r="V11" s="162" t="s">
        <v>156</v>
      </c>
      <c r="W11" s="165">
        <f t="shared" si="3"/>
        <v>1881.4712279954074</v>
      </c>
      <c r="X11" s="165">
        <f t="shared" si="0"/>
        <v>1748.5155465891976</v>
      </c>
      <c r="Y11" s="165">
        <f t="shared" si="1"/>
        <v>0</v>
      </c>
      <c r="Z11" s="165">
        <f t="shared" si="2"/>
        <v>0</v>
      </c>
    </row>
    <row r="12" spans="2:29" x14ac:dyDescent="0.25">
      <c r="B12" s="162">
        <v>7</v>
      </c>
      <c r="C12" s="162" t="s">
        <v>157</v>
      </c>
      <c r="D12" s="168">
        <v>1.1804899986600501E-4</v>
      </c>
      <c r="E12" s="162"/>
      <c r="G12" s="369"/>
      <c r="H12" s="369"/>
      <c r="I12" s="369"/>
      <c r="K12" s="162" t="s">
        <v>147</v>
      </c>
      <c r="L12" s="162">
        <v>7</v>
      </c>
      <c r="M12" s="162" t="s">
        <v>157</v>
      </c>
      <c r="N12" s="162">
        <v>1.01</v>
      </c>
      <c r="U12" s="162">
        <v>7</v>
      </c>
      <c r="V12" s="162" t="s">
        <v>157</v>
      </c>
      <c r="W12" s="165">
        <f t="shared" si="3"/>
        <v>5708.23595986077</v>
      </c>
      <c r="X12" s="165">
        <f t="shared" si="0"/>
        <v>5304.8588630558806</v>
      </c>
      <c r="Y12" s="165">
        <f t="shared" si="1"/>
        <v>0</v>
      </c>
      <c r="Z12" s="165">
        <f t="shared" si="2"/>
        <v>0</v>
      </c>
    </row>
    <row r="13" spans="2:29" x14ac:dyDescent="0.25">
      <c r="B13" s="162">
        <v>8</v>
      </c>
      <c r="C13" s="162" t="s">
        <v>158</v>
      </c>
      <c r="D13" s="168">
        <v>3.0757801141589902E-4</v>
      </c>
      <c r="E13" s="162"/>
      <c r="G13" s="369"/>
      <c r="H13" s="369"/>
      <c r="I13" s="369"/>
      <c r="K13" s="162" t="s">
        <v>147</v>
      </c>
      <c r="L13" s="162">
        <v>8</v>
      </c>
      <c r="M13" s="162" t="s">
        <v>158</v>
      </c>
      <c r="N13" s="162">
        <v>1.38</v>
      </c>
      <c r="U13" s="162">
        <v>8</v>
      </c>
      <c r="V13" s="162" t="s">
        <v>158</v>
      </c>
      <c r="W13" s="165">
        <f t="shared" si="3"/>
        <v>20321.352181939525</v>
      </c>
      <c r="X13" s="165">
        <f t="shared" si="0"/>
        <v>18885.327444360104</v>
      </c>
      <c r="Y13" s="165">
        <f t="shared" si="1"/>
        <v>0</v>
      </c>
      <c r="Z13" s="165">
        <f t="shared" si="2"/>
        <v>0</v>
      </c>
    </row>
    <row r="14" spans="2:29" x14ac:dyDescent="0.25">
      <c r="B14" s="162">
        <v>9</v>
      </c>
      <c r="C14" s="162" t="s">
        <v>159</v>
      </c>
      <c r="D14" s="168">
        <v>6.8586101406253901E-5</v>
      </c>
      <c r="E14" s="162"/>
      <c r="K14" s="162" t="s">
        <v>147</v>
      </c>
      <c r="L14" s="162">
        <v>9</v>
      </c>
      <c r="M14" s="162" t="s">
        <v>159</v>
      </c>
      <c r="N14" s="162">
        <v>1.5</v>
      </c>
      <c r="U14" s="162">
        <v>9</v>
      </c>
      <c r="V14" s="162" t="s">
        <v>159</v>
      </c>
      <c r="W14" s="165">
        <f t="shared" si="3"/>
        <v>4925.4465171103129</v>
      </c>
      <c r="X14" s="165">
        <f t="shared" si="0"/>
        <v>4577.3858674611747</v>
      </c>
      <c r="Y14" s="165">
        <f t="shared" si="1"/>
        <v>0</v>
      </c>
      <c r="Z14" s="165">
        <f t="shared" si="2"/>
        <v>0</v>
      </c>
    </row>
    <row r="15" spans="2:29" x14ac:dyDescent="0.25">
      <c r="B15" s="162">
        <v>10</v>
      </c>
      <c r="C15" s="162" t="s">
        <v>160</v>
      </c>
      <c r="D15" s="168">
        <v>1.6962800145847699E-5</v>
      </c>
      <c r="E15" s="162"/>
      <c r="K15" s="162" t="s">
        <v>147</v>
      </c>
      <c r="L15" s="162">
        <v>10</v>
      </c>
      <c r="M15" s="162" t="s">
        <v>160</v>
      </c>
      <c r="N15" s="162">
        <v>1.42</v>
      </c>
      <c r="U15" s="162">
        <v>10</v>
      </c>
      <c r="V15" s="162" t="s">
        <v>160</v>
      </c>
      <c r="W15" s="165">
        <f t="shared" si="3"/>
        <v>1153.1986386334484</v>
      </c>
      <c r="X15" s="165">
        <f t="shared" si="0"/>
        <v>1071.7069269799138</v>
      </c>
      <c r="Y15" s="165">
        <f t="shared" si="1"/>
        <v>0</v>
      </c>
      <c r="Z15" s="165">
        <f t="shared" si="2"/>
        <v>0</v>
      </c>
    </row>
    <row r="16" spans="2:29" x14ac:dyDescent="0.25">
      <c r="B16" s="162">
        <v>11</v>
      </c>
      <c r="C16" s="162" t="s">
        <v>161</v>
      </c>
      <c r="D16" s="168">
        <v>7.0328998845070601E-5</v>
      </c>
      <c r="E16" s="162"/>
      <c r="K16" s="162" t="s">
        <v>147</v>
      </c>
      <c r="L16" s="162">
        <v>11</v>
      </c>
      <c r="M16" s="162" t="s">
        <v>161</v>
      </c>
      <c r="N16" s="162">
        <v>0.18</v>
      </c>
      <c r="U16" s="162">
        <v>11</v>
      </c>
      <c r="V16" s="162" t="s">
        <v>161</v>
      </c>
      <c r="W16" s="165">
        <f t="shared" si="3"/>
        <v>606.07332735501802</v>
      </c>
      <c r="X16" s="165">
        <f t="shared" si="0"/>
        <v>563.24466698455399</v>
      </c>
      <c r="Y16" s="165">
        <f t="shared" si="1"/>
        <v>0</v>
      </c>
      <c r="Z16" s="165">
        <f t="shared" si="2"/>
        <v>0</v>
      </c>
    </row>
    <row r="17" spans="2:26" x14ac:dyDescent="0.25">
      <c r="B17" s="162">
        <v>12</v>
      </c>
      <c r="C17" s="162" t="s">
        <v>162</v>
      </c>
      <c r="D17" s="168">
        <v>5.9115001931786505E-4</v>
      </c>
      <c r="E17" s="162"/>
      <c r="K17" s="162" t="s">
        <v>147</v>
      </c>
      <c r="L17" s="162">
        <v>12</v>
      </c>
      <c r="M17" s="162" t="s">
        <v>162</v>
      </c>
      <c r="N17" s="162">
        <v>0.14000000000000001</v>
      </c>
      <c r="U17" s="162">
        <v>12</v>
      </c>
      <c r="V17" s="162" t="s">
        <v>162</v>
      </c>
      <c r="W17" s="165">
        <f t="shared" si="3"/>
        <v>3962.269168879287</v>
      </c>
      <c r="X17" s="165">
        <f t="shared" si="0"/>
        <v>3682.2722231782132</v>
      </c>
      <c r="Y17" s="165">
        <f t="shared" si="1"/>
        <v>0</v>
      </c>
      <c r="Z17" s="165">
        <f t="shared" si="2"/>
        <v>0</v>
      </c>
    </row>
    <row r="18" spans="2:26" x14ac:dyDescent="0.25">
      <c r="B18" s="162">
        <v>13</v>
      </c>
      <c r="C18" s="162" t="s">
        <v>163</v>
      </c>
      <c r="D18" s="168">
        <v>0</v>
      </c>
      <c r="E18" s="162"/>
      <c r="K18" s="162" t="s">
        <v>147</v>
      </c>
      <c r="L18" s="162">
        <v>13</v>
      </c>
      <c r="M18" s="162" t="s">
        <v>163</v>
      </c>
      <c r="N18" s="162">
        <v>0.39</v>
      </c>
      <c r="U18" s="162">
        <v>13</v>
      </c>
      <c r="V18" s="162" t="s">
        <v>163</v>
      </c>
      <c r="W18" s="165">
        <f t="shared" si="3"/>
        <v>0</v>
      </c>
      <c r="X18" s="165">
        <f t="shared" si="0"/>
        <v>0</v>
      </c>
      <c r="Y18" s="165">
        <f t="shared" si="1"/>
        <v>0</v>
      </c>
      <c r="Z18" s="165">
        <f t="shared" si="2"/>
        <v>0</v>
      </c>
    </row>
    <row r="19" spans="2:26" x14ac:dyDescent="0.25">
      <c r="B19" s="162">
        <v>14</v>
      </c>
      <c r="C19" s="162" t="s">
        <v>164</v>
      </c>
      <c r="D19" s="168">
        <v>0</v>
      </c>
      <c r="E19" s="162"/>
      <c r="K19" s="162" t="s">
        <v>147</v>
      </c>
      <c r="L19" s="162">
        <v>14</v>
      </c>
      <c r="M19" s="162" t="s">
        <v>164</v>
      </c>
      <c r="N19" s="162">
        <v>0.18</v>
      </c>
      <c r="U19" s="162">
        <v>14</v>
      </c>
      <c r="V19" s="162" t="s">
        <v>164</v>
      </c>
      <c r="W19" s="165">
        <f t="shared" si="3"/>
        <v>0</v>
      </c>
      <c r="X19" s="165">
        <f t="shared" si="0"/>
        <v>0</v>
      </c>
      <c r="Y19" s="165">
        <f t="shared" si="1"/>
        <v>0</v>
      </c>
      <c r="Z19" s="165">
        <f t="shared" si="2"/>
        <v>0</v>
      </c>
    </row>
    <row r="20" spans="2:26" x14ac:dyDescent="0.25">
      <c r="B20" s="162">
        <v>15</v>
      </c>
      <c r="C20" s="162" t="s">
        <v>165</v>
      </c>
      <c r="D20" s="168">
        <v>0</v>
      </c>
      <c r="E20" s="162"/>
      <c r="K20" s="162" t="s">
        <v>147</v>
      </c>
      <c r="L20" s="162">
        <v>15</v>
      </c>
      <c r="M20" s="162" t="s">
        <v>165</v>
      </c>
      <c r="N20" s="162">
        <v>0.3</v>
      </c>
      <c r="U20" s="162">
        <v>15</v>
      </c>
      <c r="V20" s="162" t="s">
        <v>165</v>
      </c>
      <c r="W20" s="165">
        <f t="shared" si="3"/>
        <v>0</v>
      </c>
      <c r="X20" s="165">
        <f t="shared" si="0"/>
        <v>0</v>
      </c>
      <c r="Y20" s="165">
        <f t="shared" si="1"/>
        <v>0</v>
      </c>
      <c r="Z20" s="165">
        <f t="shared" si="2"/>
        <v>0</v>
      </c>
    </row>
    <row r="21" spans="2:26" x14ac:dyDescent="0.25">
      <c r="B21" s="162">
        <v>16</v>
      </c>
      <c r="C21" s="162" t="s">
        <v>166</v>
      </c>
      <c r="D21" s="168">
        <v>0</v>
      </c>
      <c r="E21" s="162"/>
      <c r="K21" s="162" t="s">
        <v>147</v>
      </c>
      <c r="L21" s="162">
        <v>16</v>
      </c>
      <c r="M21" s="162" t="s">
        <v>166</v>
      </c>
      <c r="N21" s="162">
        <v>0.5</v>
      </c>
      <c r="U21" s="162">
        <v>16</v>
      </c>
      <c r="V21" s="162" t="s">
        <v>166</v>
      </c>
      <c r="W21" s="165">
        <f t="shared" si="3"/>
        <v>0</v>
      </c>
      <c r="X21" s="165">
        <f t="shared" si="0"/>
        <v>0</v>
      </c>
      <c r="Y21" s="165">
        <f t="shared" si="1"/>
        <v>0</v>
      </c>
      <c r="Z21" s="165">
        <f t="shared" si="2"/>
        <v>0</v>
      </c>
    </row>
    <row r="22" spans="2:26" x14ac:dyDescent="0.25">
      <c r="B22" s="162">
        <v>17</v>
      </c>
      <c r="C22" s="162" t="s">
        <v>17</v>
      </c>
      <c r="D22" s="168">
        <v>0</v>
      </c>
      <c r="E22" s="162"/>
      <c r="K22" s="162" t="s">
        <v>147</v>
      </c>
      <c r="L22" s="162">
        <v>17</v>
      </c>
      <c r="M22" s="162" t="s">
        <v>17</v>
      </c>
      <c r="N22" s="162">
        <v>0.71</v>
      </c>
      <c r="U22" s="162">
        <v>17</v>
      </c>
      <c r="V22" s="162" t="s">
        <v>17</v>
      </c>
      <c r="W22" s="165">
        <f t="shared" si="3"/>
        <v>0</v>
      </c>
      <c r="X22" s="165">
        <f t="shared" si="0"/>
        <v>0</v>
      </c>
      <c r="Y22" s="165">
        <f t="shared" si="1"/>
        <v>0</v>
      </c>
      <c r="Z22" s="165">
        <f t="shared" si="2"/>
        <v>0</v>
      </c>
    </row>
    <row r="23" spans="2:26" x14ac:dyDescent="0.25">
      <c r="B23" s="162">
        <v>18</v>
      </c>
      <c r="C23" s="162" t="s">
        <v>167</v>
      </c>
      <c r="D23" s="168">
        <v>7.7573902672156702E-4</v>
      </c>
      <c r="E23" s="162"/>
      <c r="K23" s="162" t="s">
        <v>147</v>
      </c>
      <c r="L23" s="162">
        <v>18</v>
      </c>
      <c r="M23" s="162" t="s">
        <v>167</v>
      </c>
      <c r="N23" s="162">
        <v>0.57999999999999996</v>
      </c>
      <c r="U23" s="162">
        <v>18</v>
      </c>
      <c r="V23" s="162" t="s">
        <v>167</v>
      </c>
      <c r="W23" s="165">
        <f t="shared" si="3"/>
        <v>21540.801855639078</v>
      </c>
      <c r="X23" s="165">
        <f t="shared" si="0"/>
        <v>20018.603723593216</v>
      </c>
      <c r="Y23" s="165">
        <f t="shared" si="1"/>
        <v>0</v>
      </c>
      <c r="Z23" s="165">
        <f t="shared" si="2"/>
        <v>0</v>
      </c>
    </row>
    <row r="24" spans="2:26" x14ac:dyDescent="0.25">
      <c r="B24" s="162">
        <v>19</v>
      </c>
      <c r="C24" s="162" t="s">
        <v>168</v>
      </c>
      <c r="D24" s="168">
        <v>1.56084995251149E-3</v>
      </c>
      <c r="E24" s="162"/>
      <c r="K24" s="162" t="s">
        <v>147</v>
      </c>
      <c r="L24" s="162">
        <v>19</v>
      </c>
      <c r="M24" s="162" t="s">
        <v>168</v>
      </c>
      <c r="N24" s="162">
        <v>0.63</v>
      </c>
      <c r="U24" s="162">
        <v>19</v>
      </c>
      <c r="V24" s="162" t="s">
        <v>168</v>
      </c>
      <c r="W24" s="165">
        <f t="shared" si="3"/>
        <v>47078.209403574212</v>
      </c>
      <c r="X24" s="165">
        <f t="shared" si="0"/>
        <v>43751.389775667718</v>
      </c>
      <c r="Y24" s="165">
        <f t="shared" si="1"/>
        <v>0</v>
      </c>
      <c r="Z24" s="165">
        <f t="shared" si="2"/>
        <v>0</v>
      </c>
    </row>
    <row r="25" spans="2:26" x14ac:dyDescent="0.25">
      <c r="B25" s="162">
        <v>20</v>
      </c>
      <c r="C25" s="162" t="s">
        <v>169</v>
      </c>
      <c r="D25" s="168">
        <v>1.1806399925262699E-5</v>
      </c>
      <c r="E25" s="162"/>
      <c r="K25" s="162" t="s">
        <v>147</v>
      </c>
      <c r="L25" s="162">
        <v>20</v>
      </c>
      <c r="M25" s="162" t="s">
        <v>169</v>
      </c>
      <c r="N25" s="162">
        <v>0.89</v>
      </c>
      <c r="U25" s="162">
        <v>20</v>
      </c>
      <c r="V25" s="162" t="s">
        <v>169</v>
      </c>
      <c r="W25" s="165">
        <f t="shared" si="3"/>
        <v>503.0668826217202</v>
      </c>
      <c r="X25" s="165">
        <f t="shared" si="0"/>
        <v>467.51725572514999</v>
      </c>
      <c r="Y25" s="165">
        <f t="shared" si="1"/>
        <v>0</v>
      </c>
      <c r="Z25" s="165">
        <f t="shared" si="2"/>
        <v>0</v>
      </c>
    </row>
    <row r="26" spans="2:26" x14ac:dyDescent="0.25">
      <c r="B26" s="162">
        <v>21</v>
      </c>
      <c r="C26" s="162" t="s">
        <v>170</v>
      </c>
      <c r="D26" s="168">
        <v>3.3234799047932002E-4</v>
      </c>
      <c r="E26" s="162"/>
      <c r="K26" s="162" t="s">
        <v>147</v>
      </c>
      <c r="L26" s="162">
        <v>21</v>
      </c>
      <c r="M26" s="162" t="s">
        <v>170</v>
      </c>
      <c r="N26" s="162">
        <v>5</v>
      </c>
      <c r="U26" s="162">
        <v>21</v>
      </c>
      <c r="V26" s="162" t="s">
        <v>170</v>
      </c>
      <c r="W26" s="165">
        <f t="shared" si="3"/>
        <v>79557.530297030637</v>
      </c>
      <c r="X26" s="165">
        <f t="shared" si="0"/>
        <v>73935.533269254287</v>
      </c>
      <c r="Y26" s="165">
        <f t="shared" si="1"/>
        <v>0</v>
      </c>
      <c r="Z26" s="165">
        <f t="shared" si="2"/>
        <v>0</v>
      </c>
    </row>
    <row r="27" spans="2:26" x14ac:dyDescent="0.25">
      <c r="B27" s="162">
        <v>22</v>
      </c>
      <c r="C27" s="162" t="s">
        <v>171</v>
      </c>
      <c r="D27" s="168">
        <v>2.1763199474662499E-3</v>
      </c>
      <c r="E27" s="162"/>
      <c r="K27" s="162" t="s">
        <v>147</v>
      </c>
      <c r="L27" s="162">
        <v>22</v>
      </c>
      <c r="M27" s="162" t="s">
        <v>171</v>
      </c>
      <c r="N27" s="162">
        <v>0.48</v>
      </c>
      <c r="U27" s="162">
        <v>22</v>
      </c>
      <c r="V27" s="162" t="s">
        <v>171</v>
      </c>
      <c r="W27" s="165">
        <f t="shared" si="3"/>
        <v>50012.91998504135</v>
      </c>
      <c r="X27" s="165">
        <f t="shared" si="0"/>
        <v>46478.716667560882</v>
      </c>
      <c r="Y27" s="165">
        <f t="shared" si="1"/>
        <v>0</v>
      </c>
      <c r="Z27" s="165">
        <f t="shared" si="2"/>
        <v>0</v>
      </c>
    </row>
    <row r="28" spans="2:26" x14ac:dyDescent="0.25">
      <c r="B28" s="162">
        <v>23</v>
      </c>
      <c r="C28" s="162" t="s">
        <v>172</v>
      </c>
      <c r="D28" s="168">
        <v>3.9936099201440802E-3</v>
      </c>
      <c r="E28" s="162"/>
      <c r="K28" s="162" t="s">
        <v>147</v>
      </c>
      <c r="L28" s="162">
        <v>23</v>
      </c>
      <c r="M28" s="162" t="s">
        <v>172</v>
      </c>
      <c r="N28" s="162">
        <v>1.78</v>
      </c>
      <c r="U28" s="162">
        <v>23</v>
      </c>
      <c r="V28" s="162" t="s">
        <v>172</v>
      </c>
      <c r="W28" s="165">
        <f t="shared" si="3"/>
        <v>340332.85432508448</v>
      </c>
      <c r="X28" s="165">
        <f t="shared" si="0"/>
        <v>316282.95875483856</v>
      </c>
      <c r="Y28" s="165">
        <f t="shared" si="1"/>
        <v>0</v>
      </c>
      <c r="Z28" s="165">
        <f t="shared" si="2"/>
        <v>0</v>
      </c>
    </row>
    <row r="29" spans="2:26" x14ac:dyDescent="0.25">
      <c r="B29" s="162">
        <v>24</v>
      </c>
      <c r="C29" s="162" t="s">
        <v>173</v>
      </c>
      <c r="D29" s="168">
        <v>2.2079199552536002E-3</v>
      </c>
      <c r="E29" s="162"/>
      <c r="K29" s="162" t="s">
        <v>147</v>
      </c>
      <c r="L29" s="162">
        <v>24</v>
      </c>
      <c r="M29" s="162" t="s">
        <v>173</v>
      </c>
      <c r="N29" s="162">
        <v>1.59</v>
      </c>
      <c r="U29" s="162">
        <v>24</v>
      </c>
      <c r="V29" s="162" t="s">
        <v>173</v>
      </c>
      <c r="W29" s="165">
        <f t="shared" si="3"/>
        <v>168073.2818534401</v>
      </c>
      <c r="X29" s="165">
        <f t="shared" si="0"/>
        <v>156196.24786934312</v>
      </c>
      <c r="Y29" s="165">
        <f t="shared" si="1"/>
        <v>0</v>
      </c>
      <c r="Z29" s="165">
        <f t="shared" si="2"/>
        <v>0</v>
      </c>
    </row>
    <row r="30" spans="2:26" x14ac:dyDescent="0.25">
      <c r="B30" s="162">
        <v>25</v>
      </c>
      <c r="C30" s="162" t="s">
        <v>174</v>
      </c>
      <c r="D30" s="168">
        <v>1.09529000837938E-5</v>
      </c>
      <c r="E30" s="162"/>
      <c r="K30" s="162" t="s">
        <v>147</v>
      </c>
      <c r="L30" s="162">
        <v>25</v>
      </c>
      <c r="M30" s="162" t="s">
        <v>174</v>
      </c>
      <c r="N30" s="162">
        <v>0.89</v>
      </c>
      <c r="U30" s="162">
        <v>25</v>
      </c>
      <c r="V30" s="162" t="s">
        <v>174</v>
      </c>
      <c r="W30" s="165">
        <f t="shared" si="3"/>
        <v>466.6995303988673</v>
      </c>
      <c r="X30" s="165">
        <f t="shared" si="0"/>
        <v>433.71983177108109</v>
      </c>
      <c r="Y30" s="165">
        <f t="shared" si="1"/>
        <v>0</v>
      </c>
      <c r="Z30" s="165">
        <f t="shared" si="2"/>
        <v>0</v>
      </c>
    </row>
    <row r="31" spans="2:26" x14ac:dyDescent="0.25">
      <c r="B31" s="162">
        <v>26</v>
      </c>
      <c r="C31" s="162" t="s">
        <v>175</v>
      </c>
      <c r="D31" s="168">
        <v>2.1971600654069299E-4</v>
      </c>
      <c r="E31" s="162"/>
      <c r="K31" s="162" t="s">
        <v>147</v>
      </c>
      <c r="L31" s="162">
        <v>26</v>
      </c>
      <c r="M31" s="162" t="s">
        <v>175</v>
      </c>
      <c r="N31" s="162">
        <v>0.99</v>
      </c>
      <c r="U31" s="162">
        <v>26</v>
      </c>
      <c r="V31" s="162" t="s">
        <v>175</v>
      </c>
      <c r="W31" s="165">
        <f t="shared" si="3"/>
        <v>10413.941238925305</v>
      </c>
      <c r="X31" s="165">
        <f t="shared" si="0"/>
        <v>9678.0316842409411</v>
      </c>
      <c r="Y31" s="165">
        <f t="shared" si="1"/>
        <v>0</v>
      </c>
      <c r="Z31" s="165">
        <f t="shared" si="2"/>
        <v>0</v>
      </c>
    </row>
    <row r="32" spans="2:26" x14ac:dyDescent="0.25">
      <c r="B32" s="162">
        <v>27</v>
      </c>
      <c r="C32" s="162" t="s">
        <v>176</v>
      </c>
      <c r="D32" s="168">
        <v>0</v>
      </c>
      <c r="E32" s="162"/>
      <c r="K32" s="162" t="s">
        <v>147</v>
      </c>
      <c r="L32" s="162">
        <v>27</v>
      </c>
      <c r="M32" s="162" t="s">
        <v>176</v>
      </c>
      <c r="N32" s="162">
        <v>1.24</v>
      </c>
      <c r="U32" s="162">
        <v>27</v>
      </c>
      <c r="V32" s="162" t="s">
        <v>176</v>
      </c>
      <c r="W32" s="165">
        <f t="shared" si="3"/>
        <v>0</v>
      </c>
      <c r="X32" s="165">
        <f t="shared" si="0"/>
        <v>0</v>
      </c>
      <c r="Y32" s="165">
        <f t="shared" si="1"/>
        <v>0</v>
      </c>
      <c r="Z32" s="165">
        <f t="shared" si="2"/>
        <v>0</v>
      </c>
    </row>
    <row r="33" spans="2:26" x14ac:dyDescent="0.25">
      <c r="B33" s="162">
        <v>28</v>
      </c>
      <c r="C33" s="162" t="s">
        <v>177</v>
      </c>
      <c r="D33" s="168">
        <v>5.0225801533088099E-4</v>
      </c>
      <c r="E33" s="162"/>
      <c r="K33" s="162" t="s">
        <v>147</v>
      </c>
      <c r="L33" s="162">
        <v>28</v>
      </c>
      <c r="M33" s="162" t="s">
        <v>177</v>
      </c>
      <c r="N33" s="162">
        <v>1.28</v>
      </c>
      <c r="U33" s="162">
        <v>28</v>
      </c>
      <c r="V33" s="162" t="s">
        <v>177</v>
      </c>
      <c r="W33" s="165">
        <f t="shared" si="3"/>
        <v>30779.040507451031</v>
      </c>
      <c r="X33" s="165">
        <f t="shared" si="0"/>
        <v>28604.014792039201</v>
      </c>
      <c r="Y33" s="165">
        <f t="shared" si="1"/>
        <v>0</v>
      </c>
      <c r="Z33" s="165">
        <f t="shared" si="2"/>
        <v>0</v>
      </c>
    </row>
    <row r="34" spans="2:26" x14ac:dyDescent="0.25">
      <c r="B34" s="162">
        <v>29</v>
      </c>
      <c r="C34" s="162" t="s">
        <v>178</v>
      </c>
      <c r="D34" s="168">
        <v>8.3325299783609794E-5</v>
      </c>
      <c r="E34" s="162"/>
      <c r="K34" s="162" t="s">
        <v>147</v>
      </c>
      <c r="L34" s="162">
        <v>29</v>
      </c>
      <c r="M34" s="162" t="s">
        <v>178</v>
      </c>
      <c r="N34" s="162">
        <v>1.03</v>
      </c>
      <c r="U34" s="162">
        <v>29</v>
      </c>
      <c r="V34" s="162" t="s">
        <v>178</v>
      </c>
      <c r="W34" s="165">
        <f t="shared" si="3"/>
        <v>4108.9640434157373</v>
      </c>
      <c r="X34" s="165">
        <f t="shared" si="0"/>
        <v>3818.6007861215958</v>
      </c>
      <c r="Y34" s="165">
        <f t="shared" si="1"/>
        <v>0</v>
      </c>
      <c r="Z34" s="165">
        <f t="shared" si="2"/>
        <v>0</v>
      </c>
    </row>
    <row r="35" spans="2:26" x14ac:dyDescent="0.25">
      <c r="B35" s="162">
        <v>30</v>
      </c>
      <c r="C35" s="162" t="s">
        <v>179</v>
      </c>
      <c r="D35" s="168">
        <v>1.8146600632462599E-4</v>
      </c>
      <c r="E35" s="162"/>
      <c r="K35" s="162" t="s">
        <v>147</v>
      </c>
      <c r="L35" s="162">
        <v>30</v>
      </c>
      <c r="M35" s="162" t="s">
        <v>179</v>
      </c>
      <c r="N35" s="162">
        <v>1.98</v>
      </c>
      <c r="U35" s="162">
        <v>30</v>
      </c>
      <c r="V35" s="162" t="s">
        <v>179</v>
      </c>
      <c r="W35" s="165">
        <f t="shared" si="3"/>
        <v>17201.990482901871</v>
      </c>
      <c r="X35" s="165">
        <f t="shared" si="0"/>
        <v>15986.397955008619</v>
      </c>
      <c r="Y35" s="165">
        <f t="shared" si="1"/>
        <v>0</v>
      </c>
      <c r="Z35" s="165">
        <f t="shared" si="2"/>
        <v>0</v>
      </c>
    </row>
    <row r="36" spans="2:26" x14ac:dyDescent="0.25">
      <c r="B36" s="162">
        <v>31</v>
      </c>
      <c r="C36" s="162" t="s">
        <v>180</v>
      </c>
      <c r="D36" s="168">
        <v>5.0603697309270501E-4</v>
      </c>
      <c r="E36" s="162"/>
      <c r="K36" s="162" t="s">
        <v>147</v>
      </c>
      <c r="L36" s="162">
        <v>31</v>
      </c>
      <c r="M36" s="162" t="s">
        <v>180</v>
      </c>
      <c r="N36" s="162">
        <v>0.65</v>
      </c>
      <c r="U36" s="162">
        <v>31</v>
      </c>
      <c r="V36" s="162" t="s">
        <v>180</v>
      </c>
      <c r="W36" s="165">
        <f t="shared" si="3"/>
        <v>15747.580506875165</v>
      </c>
      <c r="X36" s="165">
        <f t="shared" si="0"/>
        <v>14634.765032666995</v>
      </c>
      <c r="Y36" s="165">
        <f t="shared" si="1"/>
        <v>0</v>
      </c>
      <c r="Z36" s="165">
        <f t="shared" si="2"/>
        <v>0</v>
      </c>
    </row>
    <row r="37" spans="2:26" x14ac:dyDescent="0.25">
      <c r="B37" s="162">
        <v>32</v>
      </c>
      <c r="C37" s="162" t="s">
        <v>181</v>
      </c>
      <c r="D37" s="168">
        <v>9.3596503138542193E-3</v>
      </c>
      <c r="E37" s="162"/>
      <c r="K37" s="162" t="s">
        <v>147</v>
      </c>
      <c r="L37" s="162">
        <v>32</v>
      </c>
      <c r="M37" s="162" t="s">
        <v>181</v>
      </c>
      <c r="N37" s="162">
        <v>1.05</v>
      </c>
      <c r="U37" s="162">
        <v>32</v>
      </c>
      <c r="V37" s="162" t="s">
        <v>181</v>
      </c>
      <c r="W37" s="165">
        <f t="shared" si="3"/>
        <v>470508.15349125658</v>
      </c>
      <c r="X37" s="165">
        <f t="shared" si="0"/>
        <v>437259.31544165325</v>
      </c>
      <c r="Y37" s="165">
        <f t="shared" si="1"/>
        <v>0</v>
      </c>
      <c r="Z37" s="165">
        <f t="shared" si="2"/>
        <v>0</v>
      </c>
    </row>
    <row r="38" spans="2:26" x14ac:dyDescent="0.25">
      <c r="B38" s="162">
        <v>33</v>
      </c>
      <c r="C38" s="162" t="s">
        <v>182</v>
      </c>
      <c r="D38" s="168">
        <v>1.53308000881225E-3</v>
      </c>
      <c r="E38" s="162"/>
      <c r="K38" s="162" t="s">
        <v>147</v>
      </c>
      <c r="L38" s="162">
        <v>33</v>
      </c>
      <c r="M38" s="162" t="s">
        <v>182</v>
      </c>
      <c r="N38" s="162">
        <v>1.35</v>
      </c>
      <c r="U38" s="162">
        <v>33</v>
      </c>
      <c r="V38" s="162" t="s">
        <v>182</v>
      </c>
      <c r="W38" s="165">
        <f t="shared" si="3"/>
        <v>99087.032088552136</v>
      </c>
      <c r="X38" s="165">
        <f t="shared" si="0"/>
        <v>92084.967069525126</v>
      </c>
      <c r="Y38" s="165">
        <f t="shared" si="1"/>
        <v>0</v>
      </c>
      <c r="Z38" s="165">
        <f t="shared" si="2"/>
        <v>0</v>
      </c>
    </row>
    <row r="39" spans="2:26" x14ac:dyDescent="0.25">
      <c r="B39" s="162">
        <v>34</v>
      </c>
      <c r="C39" s="162" t="s">
        <v>183</v>
      </c>
      <c r="D39" s="168">
        <v>2.59247003123164E-3</v>
      </c>
      <c r="E39" s="162"/>
      <c r="K39" s="162" t="s">
        <v>147</v>
      </c>
      <c r="L39" s="162">
        <v>34</v>
      </c>
      <c r="M39" s="162" t="s">
        <v>183</v>
      </c>
      <c r="N39" s="162">
        <v>3.93</v>
      </c>
      <c r="U39" s="162">
        <v>34</v>
      </c>
      <c r="V39" s="162" t="s">
        <v>183</v>
      </c>
      <c r="W39" s="165">
        <f t="shared" si="3"/>
        <v>487780.60317598784</v>
      </c>
      <c r="X39" s="165">
        <f t="shared" si="0"/>
        <v>453311.19354218087</v>
      </c>
      <c r="Y39" s="165">
        <f t="shared" si="1"/>
        <v>0</v>
      </c>
      <c r="Z39" s="165">
        <f t="shared" si="2"/>
        <v>0</v>
      </c>
    </row>
    <row r="40" spans="2:26" x14ac:dyDescent="0.25">
      <c r="B40" s="162">
        <v>35</v>
      </c>
      <c r="C40" s="162" t="s">
        <v>184</v>
      </c>
      <c r="D40" s="168">
        <v>6.6801700741052602E-3</v>
      </c>
      <c r="E40" s="162"/>
      <c r="K40" s="162" t="s">
        <v>147</v>
      </c>
      <c r="L40" s="162">
        <v>35</v>
      </c>
      <c r="M40" s="162" t="s">
        <v>184</v>
      </c>
      <c r="N40" s="162">
        <v>3.93</v>
      </c>
      <c r="U40" s="162">
        <v>35</v>
      </c>
      <c r="V40" s="162" t="s">
        <v>184</v>
      </c>
      <c r="W40" s="165">
        <f t="shared" si="3"/>
        <v>1256892.9819093058</v>
      </c>
      <c r="X40" s="165">
        <f t="shared" si="0"/>
        <v>1168073.6258766963</v>
      </c>
      <c r="Y40" s="165">
        <f t="shared" si="1"/>
        <v>0</v>
      </c>
      <c r="Z40" s="165">
        <f t="shared" si="2"/>
        <v>0</v>
      </c>
    </row>
    <row r="41" spans="2:26" x14ac:dyDescent="0.25">
      <c r="B41" s="218">
        <v>36</v>
      </c>
      <c r="C41" s="218" t="s">
        <v>185</v>
      </c>
      <c r="D41" s="226">
        <v>0.941039979457855</v>
      </c>
      <c r="E41" s="218"/>
      <c r="K41" s="162" t="s">
        <v>147</v>
      </c>
      <c r="L41" s="162">
        <v>36</v>
      </c>
      <c r="M41" s="162" t="s">
        <v>185</v>
      </c>
      <c r="N41" s="162">
        <v>4.28</v>
      </c>
      <c r="U41" s="162">
        <v>36</v>
      </c>
      <c r="V41" s="162" t="s">
        <v>185</v>
      </c>
      <c r="W41" s="165">
        <f t="shared" si="3"/>
        <v>192827990.27189055</v>
      </c>
      <c r="X41" s="165">
        <f t="shared" si="0"/>
        <v>179201644.85702899</v>
      </c>
      <c r="Y41" s="165">
        <f t="shared" si="1"/>
        <v>0</v>
      </c>
      <c r="Z41" s="165">
        <f t="shared" si="2"/>
        <v>0</v>
      </c>
    </row>
    <row r="42" spans="2:26" x14ac:dyDescent="0.25">
      <c r="B42" s="162">
        <v>37</v>
      </c>
      <c r="C42" s="162" t="s">
        <v>186</v>
      </c>
      <c r="D42" s="168">
        <v>9.4412298494717106E-6</v>
      </c>
      <c r="E42" s="162"/>
      <c r="K42" s="162" t="s">
        <v>147</v>
      </c>
      <c r="L42" s="162">
        <v>37</v>
      </c>
      <c r="M42" s="162" t="s">
        <v>186</v>
      </c>
      <c r="N42" s="162">
        <v>1.69</v>
      </c>
      <c r="U42" s="162">
        <v>37</v>
      </c>
      <c r="V42" s="162" t="s">
        <v>186</v>
      </c>
      <c r="W42" s="165">
        <f t="shared" si="3"/>
        <v>763.89471741070122</v>
      </c>
      <c r="X42" s="165">
        <f t="shared" si="0"/>
        <v>709.91348125639956</v>
      </c>
      <c r="Y42" s="165">
        <f t="shared" si="1"/>
        <v>0</v>
      </c>
      <c r="Z42" s="165">
        <f t="shared" si="2"/>
        <v>0</v>
      </c>
    </row>
    <row r="43" spans="2:26" x14ac:dyDescent="0.25">
      <c r="B43" s="162">
        <v>38</v>
      </c>
      <c r="C43" s="162" t="s">
        <v>187</v>
      </c>
      <c r="D43" s="168">
        <v>5.5854401580290903E-5</v>
      </c>
      <c r="E43" s="162"/>
      <c r="K43" s="162" t="s">
        <v>147</v>
      </c>
      <c r="L43" s="162">
        <v>38</v>
      </c>
      <c r="M43" s="162" t="s">
        <v>187</v>
      </c>
      <c r="N43" s="162">
        <v>5</v>
      </c>
      <c r="U43" s="162">
        <v>38</v>
      </c>
      <c r="V43" s="162" t="s">
        <v>187</v>
      </c>
      <c r="W43" s="165">
        <f t="shared" si="3"/>
        <v>13370.438134853142</v>
      </c>
      <c r="X43" s="165">
        <f t="shared" si="0"/>
        <v>12425.605343116551</v>
      </c>
      <c r="Y43" s="165">
        <f t="shared" si="1"/>
        <v>0</v>
      </c>
      <c r="Z43" s="165">
        <f t="shared" si="2"/>
        <v>0</v>
      </c>
    </row>
    <row r="44" spans="2:26" x14ac:dyDescent="0.25">
      <c r="B44" s="162">
        <v>39</v>
      </c>
      <c r="C44" s="162" t="s">
        <v>188</v>
      </c>
      <c r="D44" s="168">
        <v>4.0128501132130597E-3</v>
      </c>
      <c r="E44" s="162"/>
      <c r="K44" s="162" t="s">
        <v>147</v>
      </c>
      <c r="L44" s="162">
        <v>39</v>
      </c>
      <c r="M44" s="162" t="s">
        <v>188</v>
      </c>
      <c r="N44" s="162">
        <v>1.76</v>
      </c>
      <c r="U44" s="162">
        <v>39</v>
      </c>
      <c r="V44" s="162" t="s">
        <v>188</v>
      </c>
      <c r="W44" s="165">
        <f t="shared" si="3"/>
        <v>338130.1035930232</v>
      </c>
      <c r="X44" s="165">
        <f t="shared" si="0"/>
        <v>314235.86717939447</v>
      </c>
      <c r="Y44" s="165">
        <f t="shared" si="1"/>
        <v>0</v>
      </c>
      <c r="Z44" s="165">
        <f t="shared" si="2"/>
        <v>0</v>
      </c>
    </row>
    <row r="45" spans="2:26" x14ac:dyDescent="0.25">
      <c r="B45" s="162">
        <v>40</v>
      </c>
      <c r="C45" s="162" t="s">
        <v>189</v>
      </c>
      <c r="D45" s="168">
        <v>4.7957899369066601E-5</v>
      </c>
      <c r="E45" s="162"/>
      <c r="K45" s="162" t="s">
        <v>147</v>
      </c>
      <c r="L45" s="162">
        <v>40</v>
      </c>
      <c r="M45" s="162" t="s">
        <v>189</v>
      </c>
      <c r="N45" s="162">
        <v>2.71</v>
      </c>
      <c r="U45" s="162">
        <v>40</v>
      </c>
      <c r="V45" s="162" t="s">
        <v>189</v>
      </c>
      <c r="W45" s="165">
        <f t="shared" si="3"/>
        <v>6222.2531220402825</v>
      </c>
      <c r="X45" s="165">
        <f t="shared" si="0"/>
        <v>5782.5525880043715</v>
      </c>
      <c r="Y45" s="165">
        <f t="shared" si="1"/>
        <v>0</v>
      </c>
      <c r="Z45" s="165">
        <f t="shared" si="2"/>
        <v>0</v>
      </c>
    </row>
    <row r="46" spans="2:26" x14ac:dyDescent="0.25">
      <c r="B46" s="162">
        <v>41</v>
      </c>
      <c r="C46" s="162" t="s">
        <v>190</v>
      </c>
      <c r="D46" s="168">
        <v>8.1505299021955607E-5</v>
      </c>
      <c r="E46" s="162"/>
      <c r="K46" s="162" t="s">
        <v>147</v>
      </c>
      <c r="L46" s="162">
        <v>41</v>
      </c>
      <c r="M46" s="162" t="s">
        <v>190</v>
      </c>
      <c r="N46" s="162">
        <v>1</v>
      </c>
      <c r="U46" s="162">
        <v>41</v>
      </c>
      <c r="V46" s="162" t="s">
        <v>190</v>
      </c>
      <c r="W46" s="165">
        <f t="shared" si="3"/>
        <v>3902.1510477351644</v>
      </c>
      <c r="X46" s="165">
        <f t="shared" si="0"/>
        <v>3626.402397539568</v>
      </c>
      <c r="Y46" s="165">
        <f t="shared" si="1"/>
        <v>0</v>
      </c>
      <c r="Z46" s="165">
        <f t="shared" si="2"/>
        <v>0</v>
      </c>
    </row>
    <row r="47" spans="2:26" x14ac:dyDescent="0.25">
      <c r="B47" s="162">
        <v>43</v>
      </c>
      <c r="C47" s="162" t="s">
        <v>191</v>
      </c>
      <c r="D47" s="168">
        <v>1.8424900248646701E-2</v>
      </c>
      <c r="E47" s="162"/>
      <c r="K47" s="162" t="s">
        <v>147</v>
      </c>
      <c r="L47" s="162">
        <v>43</v>
      </c>
      <c r="M47" s="162" t="s">
        <v>191</v>
      </c>
      <c r="N47" s="162">
        <v>1</v>
      </c>
      <c r="U47" s="162">
        <v>43</v>
      </c>
      <c r="V47" s="162" t="s">
        <v>191</v>
      </c>
      <c r="W47" s="165">
        <f t="shared" si="3"/>
        <v>882111.28199536237</v>
      </c>
      <c r="X47" s="165">
        <f t="shared" si="0"/>
        <v>819776.17698354926</v>
      </c>
      <c r="Y47" s="165">
        <f t="shared" si="1"/>
        <v>0</v>
      </c>
      <c r="Z47" s="165">
        <f t="shared" si="2"/>
        <v>0</v>
      </c>
    </row>
    <row r="48" spans="2:26" x14ac:dyDescent="0.25">
      <c r="B48" s="162">
        <v>99</v>
      </c>
      <c r="C48" s="162" t="s">
        <v>192</v>
      </c>
      <c r="D48" s="168">
        <v>0</v>
      </c>
      <c r="E48" s="162"/>
      <c r="K48" s="162" t="s">
        <v>147</v>
      </c>
      <c r="L48" s="162">
        <v>99</v>
      </c>
      <c r="M48" s="162" t="s">
        <v>192</v>
      </c>
      <c r="N48" s="162">
        <v>1</v>
      </c>
      <c r="U48" s="162">
        <v>99</v>
      </c>
      <c r="V48" s="162" t="s">
        <v>192</v>
      </c>
      <c r="W48" s="165">
        <f t="shared" si="3"/>
        <v>0</v>
      </c>
      <c r="X48" s="165">
        <f t="shared" si="0"/>
        <v>0</v>
      </c>
      <c r="Y48" s="165">
        <f t="shared" si="1"/>
        <v>0</v>
      </c>
      <c r="Z48" s="165">
        <f t="shared" si="2"/>
        <v>0</v>
      </c>
    </row>
    <row r="49" spans="3:24" x14ac:dyDescent="0.25">
      <c r="W49" s="164">
        <f>SUM(W6:W48)</f>
        <v>197310262.26103964</v>
      </c>
      <c r="X49" s="164">
        <f>SUM(X6:X48)</f>
        <v>183367173.48189065</v>
      </c>
    </row>
    <row r="50" spans="3:24" x14ac:dyDescent="0.25">
      <c r="C50" s="251" t="s">
        <v>235</v>
      </c>
      <c r="W50" s="166"/>
      <c r="X50" s="164">
        <f>W49-X49</f>
        <v>13943088.779148996</v>
      </c>
    </row>
    <row r="51" spans="3:24" x14ac:dyDescent="0.25">
      <c r="C51" s="251" t="s">
        <v>236</v>
      </c>
    </row>
  </sheetData>
  <mergeCells count="11">
    <mergeCell ref="G12:I13"/>
    <mergeCell ref="AB4:AC5"/>
    <mergeCell ref="G5:G6"/>
    <mergeCell ref="P6:P7"/>
    <mergeCell ref="G7:G8"/>
    <mergeCell ref="Y4:Z4"/>
    <mergeCell ref="B4:E4"/>
    <mergeCell ref="G4:I4"/>
    <mergeCell ref="K4:N5"/>
    <mergeCell ref="P4:S4"/>
    <mergeCell ref="W4:X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12</vt:i4>
      </vt:variant>
    </vt:vector>
  </HeadingPairs>
  <TitlesOfParts>
    <vt:vector size="32" baseType="lpstr">
      <vt:lpstr>TOC</vt:lpstr>
      <vt:lpstr>BCA Summary</vt:lpstr>
      <vt:lpstr>Project Costs</vt:lpstr>
      <vt:lpstr>Cost Summary Discounted</vt:lpstr>
      <vt:lpstr>Fixed Factors</vt:lpstr>
      <vt:lpstr>Network Model Data</vt:lpstr>
      <vt:lpstr>Network TDC</vt:lpstr>
      <vt:lpstr>Network Crash Rates</vt:lpstr>
      <vt:lpstr>Network Shipper-Logistics</vt:lpstr>
      <vt:lpstr>Network Benefit Calculations</vt:lpstr>
      <vt:lpstr>Network Benefits Summary</vt:lpstr>
      <vt:lpstr>460 Crash Inputs</vt:lpstr>
      <vt:lpstr>460 Crashes</vt:lpstr>
      <vt:lpstr>460 Safety Benefit Calc.</vt:lpstr>
      <vt:lpstr>460 Safety Benefits Summary</vt:lpstr>
      <vt:lpstr>Custom Truck Inputs</vt:lpstr>
      <vt:lpstr>Custom Truck TDC</vt:lpstr>
      <vt:lpstr>Custom Truck Shipper-Logistics</vt:lpstr>
      <vt:lpstr>Custom Truck Benefit Calc.</vt:lpstr>
      <vt:lpstr>Custom Truck Benefits Summary</vt:lpstr>
      <vt:lpstr>'Custom Truck Inputs'!_Ref518377416</vt:lpstr>
      <vt:lpstr>'Custom Truck Inputs'!_Ref518377632</vt:lpstr>
      <vt:lpstr>'Custom Truck Inputs'!_Ref518379124</vt:lpstr>
      <vt:lpstr>'Custom Truck Inputs'!_Ref518379207</vt:lpstr>
      <vt:lpstr>'460 Crashes'!Print_Titles</vt:lpstr>
      <vt:lpstr>'460 Safety Benefit Calc.'!Print_Titles</vt:lpstr>
      <vt:lpstr>'Custom Truck Benefit Calc.'!Print_Titles</vt:lpstr>
      <vt:lpstr>'Custom Truck TDC'!Print_Titles</vt:lpstr>
      <vt:lpstr>'Fixed Factors'!Print_Titles</vt:lpstr>
      <vt:lpstr>'Network Benefit Calculations'!Print_Titles</vt:lpstr>
      <vt:lpstr>'Network Model Data'!Print_Titles</vt:lpstr>
      <vt:lpstr>'Network TDC'!Print_Titles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Winston</dc:creator>
  <cp:lastModifiedBy>nstein</cp:lastModifiedBy>
  <cp:lastPrinted>2017-10-20T17:37:54Z</cp:lastPrinted>
  <dcterms:created xsi:type="dcterms:W3CDTF">2016-12-10T15:10:13Z</dcterms:created>
  <dcterms:modified xsi:type="dcterms:W3CDTF">2018-07-13T18:09:08Z</dcterms:modified>
</cp:coreProperties>
</file>